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Chris.Williams\OneDrive - Richmond and Wandsworth Councils\Desktop\2020_AMR\AMR_2020\Interim_5YHLS\AMR_2020_FINAL\Web documents\"/>
    </mc:Choice>
  </mc:AlternateContent>
  <xr:revisionPtr revIDLastSave="323" documentId="8_{1841CC10-2D7D-4649-B039-A22FE43FE4A8}" xr6:coauthVersionLast="45" xr6:coauthVersionMax="45" xr10:uidLastSave="{7E657CCB-11CD-499D-B083-455E12DDC472}"/>
  <bookViews>
    <workbookView xWindow="-120" yWindow="-120" windowWidth="29040" windowHeight="15840" tabRatio="653" xr2:uid="{00000000-000D-0000-FFFF-FFFF00000000}"/>
  </bookViews>
  <sheets>
    <sheet name="Summary Tables" sheetId="5" r:id="rId1"/>
    <sheet name="Trajectory" sheetId="6" r:id="rId2"/>
    <sheet name="Data" sheetId="1" r:id="rId3"/>
    <sheet name="Pivot" sheetId="2" state="hidden" r:id="rId4"/>
  </sheets>
  <externalReferences>
    <externalReference r:id="rId5"/>
  </externalReferences>
  <definedNames>
    <definedName name="___AMR_UNIT_JULY_v1" localSheetId="1">#REF!</definedName>
    <definedName name="___AMR_UNIT_JULY_v1">#REF!</definedName>
    <definedName name="_2020_AMR__COMBINED">Data!$A$1:$BE$330</definedName>
    <definedName name="_xlnm._FilterDatabase" localSheetId="2" hidden="1">Data!$A$1:$BN$331</definedName>
    <definedName name="_xlnm._FilterDatabase" localSheetId="0" hidden="1">'Summary Tables'!#REF!</definedName>
    <definedName name="bq" localSheetId="1">'[1]Scenario 1'!#REF!</definedName>
    <definedName name="bq">'[1]Scenario 1'!#REF!</definedName>
    <definedName name="_xlnm.Print_Area" localSheetId="0">'Summary Tables'!$B$2:$S$327</definedName>
    <definedName name="_xlnm.Print_Area" localSheetId="1">Trajectory!$A$1:$Y$49</definedName>
    <definedName name="_xlnm.Print_Titles" localSheetId="0">'Summary Tables'!$2:$3</definedName>
    <definedName name="SURVEY_2017_MAP_LLPG" localSheetId="1">#REF!</definedName>
    <definedName name="SURVEY_2017_MAP_LLPG">#REF!</definedName>
  </definedNames>
  <calcPr calcId="191029"/>
  <pivotCaches>
    <pivotCache cacheId="0" r:id="rId6"/>
    <pivotCache cacheId="1" r:id="rId7"/>
    <pivotCache cacheId="2" r:id="rId8"/>
    <pivotCache cacheId="3" r:id="rId9"/>
    <pivotCache cacheId="4" r:id="rId10"/>
    <pivotCache cacheId="5" r:id="rId11"/>
    <pivotCache cacheId="6" r:id="rId12"/>
    <pivotCache cacheId="7"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305" i="1" l="1"/>
  <c r="BB317" i="1"/>
  <c r="AT119" i="1"/>
  <c r="AT120" i="1"/>
  <c r="AO323" i="1" l="1"/>
  <c r="BB207" i="1"/>
  <c r="AG86" i="1" l="1"/>
  <c r="AH86" i="1"/>
  <c r="AI86" i="1"/>
  <c r="AJ86" i="1"/>
  <c r="AK86" i="1"/>
  <c r="AL86" i="1"/>
  <c r="AM86" i="1"/>
  <c r="AN86" i="1"/>
  <c r="AF86" i="1"/>
  <c r="AO86" i="1" s="1"/>
  <c r="AS86" i="1" s="1"/>
  <c r="BB86" i="1" s="1"/>
  <c r="V86" i="1"/>
  <c r="V58" i="1"/>
  <c r="AF45" i="1"/>
  <c r="AG85" i="1"/>
  <c r="AH85" i="1"/>
  <c r="AI85" i="1"/>
  <c r="AJ85" i="1"/>
  <c r="AK85" i="1"/>
  <c r="AL85" i="1"/>
  <c r="AM85" i="1"/>
  <c r="AN85" i="1"/>
  <c r="AF85" i="1"/>
  <c r="V85" i="1"/>
  <c r="AO85" i="1" l="1"/>
  <c r="AR85" i="1" s="1"/>
  <c r="BB85" i="1" s="1"/>
  <c r="AO317" i="1"/>
  <c r="BB2" i="1" l="1"/>
  <c r="BB3" i="1"/>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110" i="1"/>
  <c r="BB118" i="1"/>
  <c r="BB122" i="1"/>
  <c r="BB126" i="1"/>
  <c r="BB138" i="1"/>
  <c r="BB197" i="1"/>
  <c r="BB199" i="1"/>
  <c r="BB202" i="1"/>
  <c r="BB203" i="1"/>
  <c r="BB218" i="1"/>
  <c r="BB219" i="1"/>
  <c r="BB220" i="1"/>
  <c r="BB231" i="1"/>
  <c r="BB241" i="1"/>
  <c r="BB248" i="1"/>
  <c r="BB249" i="1"/>
  <c r="BB252" i="1"/>
  <c r="BB260" i="1"/>
  <c r="BB263" i="1"/>
  <c r="BB269" i="1"/>
  <c r="BB277" i="1"/>
  <c r="BB278" i="1"/>
  <c r="BB280" i="1"/>
  <c r="BB284" i="1"/>
  <c r="BB286" i="1"/>
  <c r="BB291" i="1"/>
  <c r="BB297" i="1"/>
  <c r="BB192" i="1"/>
  <c r="BB302" i="1"/>
  <c r="BB312" i="1"/>
  <c r="BB314" i="1"/>
  <c r="BB315" i="1"/>
  <c r="BB323" i="1"/>
  <c r="BB324" i="1"/>
  <c r="BB325" i="1"/>
  <c r="BB326" i="1"/>
  <c r="BB327" i="1"/>
  <c r="BB328" i="1"/>
  <c r="BB329" i="1"/>
  <c r="BB318" i="1"/>
  <c r="BB319" i="1"/>
  <c r="BB320" i="1"/>
  <c r="BB321" i="1"/>
  <c r="BB322" i="1"/>
  <c r="BB330" i="1"/>
  <c r="M323" i="5" l="1"/>
  <c r="L320" i="5"/>
  <c r="L315" i="5"/>
  <c r="N320" i="5"/>
  <c r="L307" i="5"/>
  <c r="L313" i="5"/>
  <c r="N323" i="5"/>
  <c r="N322" i="5"/>
  <c r="N314" i="5"/>
  <c r="N308" i="5"/>
  <c r="L314" i="5"/>
  <c r="L322" i="5"/>
  <c r="N317" i="5"/>
  <c r="N319" i="5"/>
  <c r="L324" i="5" l="1"/>
  <c r="N324" i="5"/>
  <c r="AO321" i="1"/>
  <c r="AO320" i="1"/>
  <c r="AO322" i="1"/>
  <c r="R10" i="6"/>
  <c r="U10" i="6"/>
  <c r="S10" i="6"/>
  <c r="V10" i="6"/>
  <c r="T10" i="6"/>
  <c r="AO319" i="1" l="1"/>
  <c r="AO330" i="1"/>
  <c r="AO318" i="1"/>
  <c r="AO329" i="1"/>
  <c r="AO328" i="1"/>
  <c r="AO327" i="1"/>
  <c r="AO326" i="1"/>
  <c r="AO325" i="1"/>
  <c r="AO324" i="1"/>
  <c r="I281" i="5" l="1"/>
  <c r="I267" i="5"/>
  <c r="G322" i="5"/>
  <c r="G309" i="5"/>
  <c r="G261" i="5"/>
  <c r="G311" i="5"/>
  <c r="H273" i="5"/>
  <c r="F320" i="5"/>
  <c r="F319" i="5"/>
  <c r="J311" i="5"/>
  <c r="E292" i="5"/>
  <c r="K320" i="5"/>
  <c r="H313" i="5"/>
  <c r="I319" i="5"/>
  <c r="I311" i="5"/>
  <c r="F307" i="5"/>
  <c r="G305" i="5"/>
  <c r="G277" i="5"/>
  <c r="G317" i="5"/>
  <c r="E273" i="5"/>
  <c r="H307" i="5"/>
  <c r="F275" i="5"/>
  <c r="J322" i="5"/>
  <c r="F314" i="5"/>
  <c r="F309" i="5"/>
  <c r="I307" i="5"/>
  <c r="J313" i="5"/>
  <c r="I315" i="5"/>
  <c r="H292" i="5"/>
  <c r="I321" i="5"/>
  <c r="F265" i="5"/>
  <c r="H315" i="5"/>
  <c r="K319" i="5"/>
  <c r="F310" i="5"/>
  <c r="G307" i="5"/>
  <c r="E275" i="5"/>
  <c r="I308" i="5"/>
  <c r="J314" i="5"/>
  <c r="F322" i="5"/>
  <c r="E261" i="5"/>
  <c r="E288" i="5"/>
  <c r="K314" i="5"/>
  <c r="G314" i="5"/>
  <c r="E265" i="5"/>
  <c r="I306" i="5"/>
  <c r="F277" i="5"/>
  <c r="G321" i="5"/>
  <c r="E277" i="5"/>
  <c r="H308" i="5"/>
  <c r="H316" i="5"/>
  <c r="G306" i="5"/>
  <c r="G275" i="5"/>
  <c r="J321" i="5"/>
  <c r="J318" i="5"/>
  <c r="H288" i="5"/>
  <c r="G288" i="5"/>
  <c r="K306" i="5"/>
  <c r="I313" i="5"/>
  <c r="H309" i="5"/>
  <c r="F312" i="5"/>
  <c r="F308" i="5"/>
  <c r="E279" i="5"/>
  <c r="K307" i="5"/>
  <c r="F318" i="5"/>
  <c r="J320" i="5"/>
  <c r="F306" i="5"/>
  <c r="G273" i="5"/>
  <c r="F261" i="5"/>
  <c r="H314" i="5"/>
  <c r="K313" i="5"/>
  <c r="F279" i="5"/>
  <c r="I305" i="5"/>
  <c r="F316" i="5"/>
  <c r="F311" i="5"/>
  <c r="K305" i="5"/>
  <c r="F273" i="5"/>
  <c r="G320" i="5"/>
  <c r="I317" i="5"/>
  <c r="F292" i="5"/>
  <c r="G265" i="5"/>
  <c r="F313" i="5"/>
  <c r="G319" i="5"/>
  <c r="I310" i="5"/>
  <c r="F317" i="5"/>
  <c r="F288" i="5"/>
  <c r="H306" i="5"/>
  <c r="G315" i="5"/>
  <c r="J317" i="5"/>
  <c r="I309" i="5"/>
  <c r="J306" i="5"/>
  <c r="F305" i="5"/>
  <c r="I320" i="5"/>
  <c r="G316" i="5"/>
  <c r="J315" i="5"/>
  <c r="G310" i="5"/>
  <c r="H319" i="5"/>
  <c r="G318" i="5"/>
  <c r="H275" i="5"/>
  <c r="F315" i="5"/>
  <c r="H277" i="5"/>
  <c r="G312" i="5"/>
  <c r="G313" i="5"/>
  <c r="G292" i="5"/>
  <c r="H311" i="5"/>
  <c r="H321" i="5"/>
  <c r="G308" i="5"/>
  <c r="F321" i="5"/>
  <c r="H317" i="5"/>
  <c r="H261" i="5"/>
  <c r="I316" i="5"/>
  <c r="J324" i="5" l="1"/>
  <c r="G324" i="5"/>
  <c r="I324" i="5"/>
  <c r="K324" i="5"/>
  <c r="F324" i="5"/>
  <c r="H324" i="5"/>
  <c r="M305" i="5"/>
  <c r="M322" i="5"/>
  <c r="H294" i="5"/>
  <c r="E294" i="5"/>
  <c r="F294" i="5"/>
  <c r="G294" i="5"/>
  <c r="E281" i="5"/>
  <c r="F281" i="5"/>
  <c r="G281" i="5"/>
  <c r="H281" i="5"/>
  <c r="J279" i="5"/>
  <c r="E267" i="5"/>
  <c r="J265" i="5"/>
  <c r="J261" i="5"/>
  <c r="G267" i="5"/>
  <c r="F267" i="5"/>
  <c r="H267" i="5"/>
  <c r="J263" i="5"/>
  <c r="J281" i="5" l="1"/>
  <c r="J267" i="5"/>
  <c r="F268" i="5" s="1"/>
  <c r="E282" i="5" l="1"/>
  <c r="E280" i="5"/>
  <c r="I280" i="5"/>
  <c r="I293" i="5"/>
  <c r="I291" i="5"/>
  <c r="I289" i="5"/>
  <c r="G289" i="5"/>
  <c r="F291" i="5"/>
  <c r="H289" i="5"/>
  <c r="G291" i="5"/>
  <c r="E289" i="5"/>
  <c r="H293" i="5"/>
  <c r="E293" i="5"/>
  <c r="F293" i="5"/>
  <c r="G280" i="5"/>
  <c r="F280" i="5"/>
  <c r="H291" i="5"/>
  <c r="H280" i="5"/>
  <c r="G293" i="5"/>
  <c r="F289" i="5"/>
  <c r="E291" i="5"/>
  <c r="H282" i="5"/>
  <c r="I268" i="5"/>
  <c r="H268" i="5"/>
  <c r="G268" i="5"/>
  <c r="E268" i="5"/>
  <c r="G264" i="5"/>
  <c r="F262" i="5"/>
  <c r="I266" i="5"/>
  <c r="F264" i="5"/>
  <c r="E262" i="5"/>
  <c r="I264" i="5"/>
  <c r="H264" i="5"/>
  <c r="H266" i="5"/>
  <c r="I262" i="5"/>
  <c r="H262" i="5"/>
  <c r="G266" i="5"/>
  <c r="F266" i="5"/>
  <c r="E266" i="5"/>
  <c r="G262" i="5"/>
  <c r="E264" i="5"/>
  <c r="J280" i="5" l="1"/>
  <c r="J268" i="5"/>
  <c r="J264" i="5"/>
  <c r="J262" i="5"/>
  <c r="J266" i="5"/>
  <c r="M10" i="6"/>
  <c r="N10" i="6"/>
  <c r="L9" i="6"/>
  <c r="P10" i="6"/>
  <c r="O10" i="6"/>
  <c r="Q10" i="6"/>
  <c r="AV204" i="1" l="1"/>
  <c r="AU204" i="1"/>
  <c r="AT204" i="1"/>
  <c r="AS204" i="1"/>
  <c r="BB204" i="1" s="1"/>
  <c r="H241" i="5"/>
  <c r="H238" i="5"/>
  <c r="H239" i="5"/>
  <c r="F238" i="5"/>
  <c r="N197" i="5"/>
  <c r="G241" i="5"/>
  <c r="H250" i="5"/>
  <c r="E199" i="5"/>
  <c r="E200" i="5"/>
  <c r="H234" i="5"/>
  <c r="H248" i="5"/>
  <c r="G245" i="5"/>
  <c r="G249" i="5"/>
  <c r="G237" i="5"/>
  <c r="G233" i="5"/>
  <c r="G248" i="5"/>
  <c r="H233" i="5"/>
  <c r="F243" i="5"/>
  <c r="H236" i="5"/>
  <c r="G236" i="5"/>
  <c r="F247" i="5"/>
  <c r="F234" i="5"/>
  <c r="F240" i="5"/>
  <c r="H240" i="5"/>
  <c r="F235" i="5"/>
  <c r="G242" i="5"/>
  <c r="G244" i="5"/>
  <c r="G247" i="5"/>
  <c r="F245" i="5"/>
  <c r="G240" i="5"/>
  <c r="H247" i="5"/>
  <c r="F250" i="5"/>
  <c r="F236" i="5"/>
  <c r="G234" i="5"/>
  <c r="N202" i="5"/>
  <c r="H244" i="5"/>
  <c r="F244" i="5"/>
  <c r="N201" i="5"/>
  <c r="E198" i="5"/>
  <c r="H237" i="5"/>
  <c r="H249" i="5"/>
  <c r="G235" i="5"/>
  <c r="F248" i="5"/>
  <c r="G239" i="5"/>
  <c r="N198" i="5"/>
  <c r="H242" i="5"/>
  <c r="F233" i="5"/>
  <c r="F239" i="5"/>
  <c r="G238" i="5"/>
  <c r="G243" i="5"/>
  <c r="G246" i="5"/>
  <c r="H246" i="5"/>
  <c r="F246" i="5"/>
  <c r="F242" i="5"/>
  <c r="G250" i="5"/>
  <c r="H245" i="5"/>
  <c r="F237" i="5"/>
  <c r="F241" i="5"/>
  <c r="E196" i="5"/>
  <c r="E197" i="5"/>
  <c r="H235" i="5"/>
  <c r="F249" i="5"/>
  <c r="H243" i="5"/>
  <c r="E201" i="5" l="1"/>
  <c r="N196" i="5" s="1"/>
  <c r="R16" i="6" l="1"/>
  <c r="H15" i="6"/>
  <c r="H16" i="6" s="1"/>
  <c r="D15" i="6"/>
  <c r="H13" i="6"/>
  <c r="I13" i="6" s="1"/>
  <c r="J13" i="6" s="1"/>
  <c r="K13" i="6" s="1"/>
  <c r="L13" i="6" s="1"/>
  <c r="M13" i="6" s="1"/>
  <c r="N13" i="6" s="1"/>
  <c r="O13" i="6" s="1"/>
  <c r="P13" i="6" s="1"/>
  <c r="Q13" i="6" s="1"/>
  <c r="R13" i="6" s="1"/>
  <c r="S13" i="6" s="1"/>
  <c r="T13" i="6" s="1"/>
  <c r="U13" i="6" s="1"/>
  <c r="V13" i="6" s="1"/>
  <c r="W13" i="6" s="1"/>
  <c r="X13" i="6" s="1"/>
  <c r="D13" i="6"/>
  <c r="E13" i="6" s="1"/>
  <c r="F13" i="6" s="1"/>
  <c r="G13" i="6" s="1"/>
  <c r="H11" i="6"/>
  <c r="H14" i="6" s="1"/>
  <c r="D11" i="6"/>
  <c r="E15" i="6" s="1"/>
  <c r="I8" i="6"/>
  <c r="J8" i="6" s="1"/>
  <c r="K8" i="6" s="1"/>
  <c r="L8" i="6" s="1"/>
  <c r="M8" i="6" s="1"/>
  <c r="N8" i="6" s="1"/>
  <c r="O8" i="6" s="1"/>
  <c r="P8" i="6" s="1"/>
  <c r="Q8" i="6" s="1"/>
  <c r="E8" i="6"/>
  <c r="F8" i="6" s="1"/>
  <c r="G8" i="6" s="1"/>
  <c r="M321" i="5"/>
  <c r="M320" i="5"/>
  <c r="M319" i="5"/>
  <c r="M318" i="5"/>
  <c r="M317" i="5"/>
  <c r="M316" i="5"/>
  <c r="M315" i="5"/>
  <c r="M314" i="5"/>
  <c r="M313" i="5"/>
  <c r="M312" i="5"/>
  <c r="M311" i="5"/>
  <c r="M310" i="5"/>
  <c r="M309" i="5"/>
  <c r="M308" i="5"/>
  <c r="M307" i="5"/>
  <c r="M306" i="5"/>
  <c r="I294" i="5"/>
  <c r="J293" i="5"/>
  <c r="J292" i="5"/>
  <c r="J291" i="5"/>
  <c r="J290" i="5"/>
  <c r="J289" i="5"/>
  <c r="J288" i="5"/>
  <c r="J277" i="5"/>
  <c r="J275" i="5"/>
  <c r="J273" i="5"/>
  <c r="H251" i="5"/>
  <c r="G251" i="5"/>
  <c r="F251" i="5"/>
  <c r="F220" i="5"/>
  <c r="G223" i="5"/>
  <c r="F212" i="5"/>
  <c r="G207" i="5"/>
  <c r="F208" i="5"/>
  <c r="G216" i="5"/>
  <c r="H210" i="5"/>
  <c r="H209" i="5"/>
  <c r="G214" i="5"/>
  <c r="H211" i="5"/>
  <c r="H217" i="5"/>
  <c r="H218" i="5"/>
  <c r="H215" i="5"/>
  <c r="G218" i="5"/>
  <c r="G215" i="5"/>
  <c r="H219" i="5"/>
  <c r="G213" i="5"/>
  <c r="H208" i="5"/>
  <c r="H224" i="5"/>
  <c r="G217" i="5"/>
  <c r="G208" i="5"/>
  <c r="F221" i="5"/>
  <c r="F222" i="5"/>
  <c r="F218" i="5"/>
  <c r="G209" i="5"/>
  <c r="G220" i="5"/>
  <c r="G224" i="5"/>
  <c r="F209" i="5"/>
  <c r="H212" i="5"/>
  <c r="F217" i="5"/>
  <c r="F211" i="5"/>
  <c r="F210" i="5"/>
  <c r="H221" i="5"/>
  <c r="F215" i="5"/>
  <c r="G211" i="5"/>
  <c r="G222" i="5"/>
  <c r="G212" i="5"/>
  <c r="F207" i="5"/>
  <c r="H213" i="5"/>
  <c r="F213" i="5"/>
  <c r="H216" i="5"/>
  <c r="H222" i="5"/>
  <c r="G219" i="5"/>
  <c r="F216" i="5"/>
  <c r="H220" i="5"/>
  <c r="G210" i="5"/>
  <c r="H223" i="5"/>
  <c r="F214" i="5"/>
  <c r="G221" i="5"/>
  <c r="H207" i="5"/>
  <c r="F224" i="5"/>
  <c r="F223" i="5"/>
  <c r="F219" i="5"/>
  <c r="H214" i="5"/>
  <c r="M324" i="5" l="1"/>
  <c r="J294" i="5"/>
  <c r="H225" i="5"/>
  <c r="G225" i="5"/>
  <c r="F225" i="5"/>
  <c r="E11" i="6"/>
  <c r="D14" i="6"/>
  <c r="I15" i="6"/>
  <c r="I16" i="6" s="1"/>
  <c r="I11" i="6"/>
  <c r="G295" i="5" l="1"/>
  <c r="E295" i="5"/>
  <c r="F295" i="5"/>
  <c r="H295" i="5"/>
  <c r="I295" i="5"/>
  <c r="I282" i="5"/>
  <c r="G282" i="5"/>
  <c r="F282" i="5"/>
  <c r="I278" i="5"/>
  <c r="F276" i="5"/>
  <c r="G274" i="5"/>
  <c r="H276" i="5"/>
  <c r="G276" i="5"/>
  <c r="H278" i="5"/>
  <c r="E276" i="5"/>
  <c r="H274" i="5"/>
  <c r="F274" i="5"/>
  <c r="G278" i="5"/>
  <c r="I274" i="5"/>
  <c r="F278" i="5"/>
  <c r="I276" i="5"/>
  <c r="E278" i="5"/>
  <c r="E274" i="5"/>
  <c r="I14" i="6"/>
  <c r="J11" i="6"/>
  <c r="J15" i="6"/>
  <c r="J16" i="6" s="1"/>
  <c r="E14" i="6"/>
  <c r="F11" i="6"/>
  <c r="F15" i="6"/>
  <c r="J282" i="5" l="1"/>
  <c r="J295" i="5"/>
  <c r="J274" i="5"/>
  <c r="J276" i="5"/>
  <c r="J278" i="5"/>
  <c r="K11" i="6"/>
  <c r="K15" i="6"/>
  <c r="K16" i="6" s="1"/>
  <c r="J14" i="6"/>
  <c r="F14" i="6"/>
  <c r="G11" i="6"/>
  <c r="G14" i="6" s="1"/>
  <c r="G15" i="6"/>
  <c r="L15" i="6" l="1"/>
  <c r="L16" i="6" s="1"/>
  <c r="L11" i="6"/>
  <c r="K14" i="6"/>
  <c r="M15" i="6" l="1"/>
  <c r="M16" i="6" s="1"/>
  <c r="L14" i="6"/>
  <c r="M11" i="6"/>
  <c r="M14" i="6" l="1"/>
  <c r="N11" i="6"/>
  <c r="O15" i="6" s="1"/>
  <c r="N15" i="6"/>
  <c r="N16" i="6" s="1"/>
  <c r="N14" i="6" l="1"/>
  <c r="O11" i="6"/>
  <c r="P15" i="6" s="1"/>
  <c r="O16" i="6"/>
  <c r="P11" i="6" l="1"/>
  <c r="Q15" i="6" s="1"/>
  <c r="O14" i="6"/>
  <c r="P16" i="6"/>
  <c r="P14" i="6" l="1"/>
  <c r="Q16" i="6"/>
  <c r="Q11" i="6"/>
  <c r="Q14" i="6" l="1"/>
  <c r="R11" i="6"/>
  <c r="S11" i="6" l="1"/>
  <c r="R14" i="6"/>
  <c r="T11" i="6" l="1"/>
  <c r="S14" i="6"/>
  <c r="T14" i="6" l="1"/>
  <c r="U11" i="6"/>
  <c r="U14" i="6" l="1"/>
  <c r="V11" i="6"/>
  <c r="V14" i="6" l="1"/>
  <c r="W11" i="6"/>
  <c r="W14" i="6" l="1"/>
  <c r="X11" i="6"/>
  <c r="X14" i="6" s="1"/>
  <c r="AF110" i="1" l="1"/>
  <c r="AN110" i="1"/>
  <c r="AM110" i="1"/>
  <c r="AL110" i="1"/>
  <c r="AK110" i="1"/>
  <c r="AJ110" i="1"/>
  <c r="AI110" i="1"/>
  <c r="AH110" i="1"/>
  <c r="AG110" i="1"/>
  <c r="V110" i="1"/>
  <c r="AO110" i="1" l="1"/>
  <c r="AG121" i="1" l="1"/>
  <c r="E161" i="5" l="1"/>
  <c r="G161" i="5"/>
  <c r="I158" i="5" l="1"/>
  <c r="I157" i="5"/>
  <c r="I159" i="5"/>
  <c r="G179" i="5"/>
  <c r="H179" i="5"/>
  <c r="M157" i="5" l="1"/>
  <c r="K157" i="5"/>
  <c r="K158" i="5"/>
  <c r="M158" i="5"/>
  <c r="K159" i="5"/>
  <c r="M159" i="5"/>
  <c r="G181" i="5"/>
  <c r="G180" i="5"/>
  <c r="I179" i="5"/>
  <c r="J179" i="5" s="1"/>
  <c r="H180" i="5"/>
  <c r="H181" i="5"/>
  <c r="I160" i="5"/>
  <c r="K160" i="5" l="1"/>
  <c r="M160" i="5"/>
  <c r="I161" i="5"/>
  <c r="G162" i="5" s="1"/>
  <c r="K179" i="5"/>
  <c r="D185" i="5" s="1"/>
  <c r="I177" i="5"/>
  <c r="K177" i="5" s="1"/>
  <c r="I176" i="5"/>
  <c r="K176" i="5" s="1"/>
  <c r="I175" i="5"/>
  <c r="K175" i="5" s="1"/>
  <c r="I174" i="5"/>
  <c r="K174" i="5" s="1"/>
  <c r="I173" i="5"/>
  <c r="E142" i="5"/>
  <c r="G145" i="5"/>
  <c r="E143" i="5"/>
  <c r="G142" i="5"/>
  <c r="E144" i="5"/>
  <c r="G143" i="5"/>
  <c r="G144" i="5"/>
  <c r="E145" i="5"/>
  <c r="E162" i="5" l="1"/>
  <c r="E146" i="5"/>
  <c r="J174" i="5"/>
  <c r="J175" i="5"/>
  <c r="I178" i="5"/>
  <c r="K178" i="5" s="1"/>
  <c r="D184" i="5" s="1"/>
  <c r="I144" i="5"/>
  <c r="I142" i="5"/>
  <c r="G146" i="5"/>
  <c r="I143" i="5"/>
  <c r="I145" i="5"/>
  <c r="J173" i="5"/>
  <c r="K173" i="5"/>
  <c r="J176" i="5"/>
  <c r="J177" i="5"/>
  <c r="K181" i="5" l="1"/>
  <c r="I180" i="5"/>
  <c r="J180" i="5" s="1"/>
  <c r="I181" i="5"/>
  <c r="I146" i="5"/>
  <c r="J145" i="5" s="1"/>
  <c r="J178" i="5"/>
  <c r="J181" i="5" s="1"/>
  <c r="J142" i="5" l="1"/>
  <c r="K180" i="5"/>
  <c r="J143" i="5"/>
  <c r="J144" i="5"/>
  <c r="J146" i="5" l="1"/>
  <c r="AF100" i="1" l="1"/>
  <c r="AF84" i="1"/>
  <c r="AF88" i="1" l="1"/>
  <c r="AG220" i="1" l="1"/>
  <c r="AH220" i="1"/>
  <c r="AI220" i="1"/>
  <c r="AJ220" i="1"/>
  <c r="AK220" i="1"/>
  <c r="AL220" i="1"/>
  <c r="AM220" i="1"/>
  <c r="AN220" i="1"/>
  <c r="AF220" i="1"/>
  <c r="V220" i="1"/>
  <c r="AG225" i="1"/>
  <c r="AH225" i="1"/>
  <c r="AI225" i="1"/>
  <c r="AJ225" i="1"/>
  <c r="AK225" i="1"/>
  <c r="AL225" i="1"/>
  <c r="AM225" i="1"/>
  <c r="AN225" i="1"/>
  <c r="AF225" i="1"/>
  <c r="V225" i="1"/>
  <c r="AG215" i="1"/>
  <c r="AH215" i="1"/>
  <c r="AI215" i="1"/>
  <c r="AJ215" i="1"/>
  <c r="AK215" i="1"/>
  <c r="AL215" i="1"/>
  <c r="AM215" i="1"/>
  <c r="AN215" i="1"/>
  <c r="AF215" i="1"/>
  <c r="V215" i="1"/>
  <c r="V214" i="1"/>
  <c r="AG204" i="1"/>
  <c r="AH204" i="1"/>
  <c r="AI204" i="1"/>
  <c r="AJ204" i="1"/>
  <c r="AK204" i="1"/>
  <c r="AL204" i="1"/>
  <c r="AM204" i="1"/>
  <c r="AN204" i="1"/>
  <c r="AF204" i="1"/>
  <c r="V204" i="1"/>
  <c r="AO215" i="1" l="1"/>
  <c r="AO220" i="1"/>
  <c r="AO225" i="1"/>
  <c r="F118" i="5"/>
  <c r="D118" i="5"/>
  <c r="AV225" i="1" l="1"/>
  <c r="AT225" i="1"/>
  <c r="AU225" i="1"/>
  <c r="AS225" i="1"/>
  <c r="BB225" i="1" s="1"/>
  <c r="AT215" i="1"/>
  <c r="AR215" i="1"/>
  <c r="AS215" i="1"/>
  <c r="F119" i="5"/>
  <c r="D119" i="5"/>
  <c r="E80" i="5"/>
  <c r="E81" i="5"/>
  <c r="BB215" i="1" l="1"/>
  <c r="V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9" i="1"/>
  <c r="V60" i="1"/>
  <c r="V61" i="1"/>
  <c r="V62" i="1"/>
  <c r="V63" i="1"/>
  <c r="V64" i="1"/>
  <c r="V65" i="1"/>
  <c r="V66" i="1"/>
  <c r="V67" i="1"/>
  <c r="V68" i="1"/>
  <c r="V69" i="1"/>
  <c r="V70" i="1"/>
  <c r="V71" i="1"/>
  <c r="V72" i="1"/>
  <c r="V73" i="1"/>
  <c r="V74" i="1"/>
  <c r="V75" i="1"/>
  <c r="V76" i="1"/>
  <c r="V77" i="1"/>
  <c r="V78" i="1"/>
  <c r="V87" i="1"/>
  <c r="V79" i="1"/>
  <c r="V80" i="1"/>
  <c r="V81" i="1"/>
  <c r="V82" i="1"/>
  <c r="V83" i="1"/>
  <c r="V84"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87" i="1"/>
  <c r="AF79" i="1"/>
  <c r="AF80" i="1"/>
  <c r="AF81" i="1"/>
  <c r="AO81" i="1" s="1"/>
  <c r="AF82" i="1"/>
  <c r="AF83" i="1"/>
  <c r="H63" i="5"/>
  <c r="G63" i="5"/>
  <c r="I52" i="5"/>
  <c r="AO87" i="1" l="1"/>
  <c r="AR87" i="1" s="1"/>
  <c r="BB87" i="1" s="1"/>
  <c r="AO80" i="1"/>
  <c r="AO84" i="1"/>
  <c r="AO36" i="1"/>
  <c r="AF138" i="1"/>
  <c r="AO138" i="1" s="1"/>
  <c r="AO45" i="1"/>
  <c r="AO46" i="1"/>
  <c r="AO47" i="1"/>
  <c r="AF126" i="1"/>
  <c r="AN2" i="1"/>
  <c r="AN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87" i="1"/>
  <c r="AN79" i="1"/>
  <c r="AN80" i="1"/>
  <c r="AN81" i="1"/>
  <c r="AN82" i="1"/>
  <c r="AN83" i="1"/>
  <c r="AN84" i="1"/>
  <c r="AN88" i="1"/>
  <c r="AN89" i="1"/>
  <c r="AN90" i="1"/>
  <c r="AN91" i="1"/>
  <c r="AN92" i="1"/>
  <c r="AN93" i="1"/>
  <c r="AN94" i="1"/>
  <c r="AN95" i="1"/>
  <c r="AN96" i="1"/>
  <c r="AN97" i="1"/>
  <c r="AN98" i="1"/>
  <c r="AN99" i="1"/>
  <c r="AN100" i="1"/>
  <c r="AN101" i="1"/>
  <c r="AN102" i="1"/>
  <c r="AN103" i="1"/>
  <c r="AN104" i="1"/>
  <c r="AN105" i="1"/>
  <c r="AN106" i="1"/>
  <c r="AN107" i="1"/>
  <c r="AN108" i="1"/>
  <c r="AN109"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3" i="1"/>
  <c r="AN194" i="1"/>
  <c r="AN195" i="1"/>
  <c r="AN196" i="1"/>
  <c r="AN197" i="1"/>
  <c r="AN198" i="1"/>
  <c r="AN199" i="1"/>
  <c r="AN200" i="1"/>
  <c r="AN201" i="1"/>
  <c r="AN202" i="1"/>
  <c r="AN203" i="1"/>
  <c r="AN205" i="1"/>
  <c r="AN206" i="1"/>
  <c r="AN207" i="1"/>
  <c r="AN208" i="1"/>
  <c r="AN209" i="1"/>
  <c r="AN210" i="1"/>
  <c r="AN211" i="1"/>
  <c r="AN212" i="1"/>
  <c r="AN213" i="1"/>
  <c r="AN214" i="1"/>
  <c r="AN216" i="1"/>
  <c r="AN217" i="1"/>
  <c r="AN218" i="1"/>
  <c r="AN219" i="1"/>
  <c r="AN221" i="1"/>
  <c r="AN222" i="1"/>
  <c r="AN223" i="1"/>
  <c r="AN224"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192" i="1"/>
  <c r="AN301" i="1"/>
  <c r="AN302" i="1"/>
  <c r="AN303" i="1"/>
  <c r="AN304" i="1"/>
  <c r="AN305" i="1"/>
  <c r="AN306" i="1"/>
  <c r="AN307" i="1"/>
  <c r="AN308" i="1"/>
  <c r="AN309" i="1"/>
  <c r="AN310" i="1"/>
  <c r="AN311" i="1"/>
  <c r="AN312" i="1"/>
  <c r="AN313" i="1"/>
  <c r="AN314" i="1"/>
  <c r="AN315" i="1"/>
  <c r="AN316" i="1"/>
  <c r="AN330" i="1"/>
  <c r="AM2" i="1"/>
  <c r="AM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87" i="1"/>
  <c r="AM79" i="1"/>
  <c r="AM80" i="1"/>
  <c r="AM81" i="1"/>
  <c r="AM82" i="1"/>
  <c r="AM83" i="1"/>
  <c r="AM84" i="1"/>
  <c r="AM88" i="1"/>
  <c r="AM89" i="1"/>
  <c r="AM90" i="1"/>
  <c r="AM91" i="1"/>
  <c r="AM92" i="1"/>
  <c r="AM93" i="1"/>
  <c r="AM94" i="1"/>
  <c r="AM95" i="1"/>
  <c r="AM96" i="1"/>
  <c r="AM97" i="1"/>
  <c r="AM98" i="1"/>
  <c r="AM99" i="1"/>
  <c r="AM100" i="1"/>
  <c r="AM101" i="1"/>
  <c r="AM102" i="1"/>
  <c r="AM103" i="1"/>
  <c r="AM104" i="1"/>
  <c r="AM105" i="1"/>
  <c r="AM106" i="1"/>
  <c r="AM107" i="1"/>
  <c r="AM108" i="1"/>
  <c r="AM109"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3" i="1"/>
  <c r="AM194" i="1"/>
  <c r="AM195" i="1"/>
  <c r="AM196" i="1"/>
  <c r="AM197" i="1"/>
  <c r="AM198" i="1"/>
  <c r="AM199" i="1"/>
  <c r="AM200" i="1"/>
  <c r="AM201" i="1"/>
  <c r="AM202" i="1"/>
  <c r="AM203" i="1"/>
  <c r="AM205" i="1"/>
  <c r="AM206" i="1"/>
  <c r="AM207" i="1"/>
  <c r="AM208" i="1"/>
  <c r="AM209" i="1"/>
  <c r="AM210" i="1"/>
  <c r="AM211" i="1"/>
  <c r="AM212" i="1"/>
  <c r="AM213" i="1"/>
  <c r="AM214" i="1"/>
  <c r="AM216" i="1"/>
  <c r="AM217" i="1"/>
  <c r="AM218" i="1"/>
  <c r="AM219" i="1"/>
  <c r="AM221" i="1"/>
  <c r="AM222" i="1"/>
  <c r="AM223" i="1"/>
  <c r="AM224"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192" i="1"/>
  <c r="AM301" i="1"/>
  <c r="AM302" i="1"/>
  <c r="AM303" i="1"/>
  <c r="AM304" i="1"/>
  <c r="AM305" i="1"/>
  <c r="AM306" i="1"/>
  <c r="AM307" i="1"/>
  <c r="AM308" i="1"/>
  <c r="AM309" i="1"/>
  <c r="AM310" i="1"/>
  <c r="AM311" i="1"/>
  <c r="AM312" i="1"/>
  <c r="AM313" i="1"/>
  <c r="AM314" i="1"/>
  <c r="AM315" i="1"/>
  <c r="AM316" i="1"/>
  <c r="AM330" i="1"/>
  <c r="AL2" i="1"/>
  <c r="AL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87" i="1"/>
  <c r="AL79" i="1"/>
  <c r="AL80" i="1"/>
  <c r="AL81" i="1"/>
  <c r="AL82" i="1"/>
  <c r="AL83" i="1"/>
  <c r="AL84" i="1"/>
  <c r="AL88" i="1"/>
  <c r="AL89" i="1"/>
  <c r="AL90" i="1"/>
  <c r="AL91" i="1"/>
  <c r="AL92" i="1"/>
  <c r="AL93" i="1"/>
  <c r="AL94" i="1"/>
  <c r="AL95" i="1"/>
  <c r="AL96" i="1"/>
  <c r="AL97" i="1"/>
  <c r="AL98" i="1"/>
  <c r="AL99" i="1"/>
  <c r="AL100" i="1"/>
  <c r="AL101" i="1"/>
  <c r="AL102" i="1"/>
  <c r="AL103" i="1"/>
  <c r="AL104" i="1"/>
  <c r="AL105" i="1"/>
  <c r="AL106" i="1"/>
  <c r="AL107" i="1"/>
  <c r="AL108" i="1"/>
  <c r="AL109"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3" i="1"/>
  <c r="AL194" i="1"/>
  <c r="AL195" i="1"/>
  <c r="AL196" i="1"/>
  <c r="AL197" i="1"/>
  <c r="AL198" i="1"/>
  <c r="AL199" i="1"/>
  <c r="AL200" i="1"/>
  <c r="AL201" i="1"/>
  <c r="AL202" i="1"/>
  <c r="AL203" i="1"/>
  <c r="AL205" i="1"/>
  <c r="AL206" i="1"/>
  <c r="AL207" i="1"/>
  <c r="AL208" i="1"/>
  <c r="AL209" i="1"/>
  <c r="AL210" i="1"/>
  <c r="AL211" i="1"/>
  <c r="AL212" i="1"/>
  <c r="AL213" i="1"/>
  <c r="AL214" i="1"/>
  <c r="AL216" i="1"/>
  <c r="AL217" i="1"/>
  <c r="AL218" i="1"/>
  <c r="AL219" i="1"/>
  <c r="AL221" i="1"/>
  <c r="AL222" i="1"/>
  <c r="AL223" i="1"/>
  <c r="AL224"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192" i="1"/>
  <c r="AL301" i="1"/>
  <c r="AL302" i="1"/>
  <c r="AL303" i="1"/>
  <c r="AL304" i="1"/>
  <c r="AL305" i="1"/>
  <c r="AL306" i="1"/>
  <c r="AL307" i="1"/>
  <c r="AL308" i="1"/>
  <c r="AL309" i="1"/>
  <c r="AL310" i="1"/>
  <c r="AL311" i="1"/>
  <c r="AL312" i="1"/>
  <c r="AL313" i="1"/>
  <c r="AL314" i="1"/>
  <c r="AL315" i="1"/>
  <c r="AL316" i="1"/>
  <c r="AL330" i="1"/>
  <c r="AK2" i="1"/>
  <c r="AK3" i="1"/>
  <c r="AK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87" i="1"/>
  <c r="AK79" i="1"/>
  <c r="AK80" i="1"/>
  <c r="AK81" i="1"/>
  <c r="AK82" i="1"/>
  <c r="AK83" i="1"/>
  <c r="AK84" i="1"/>
  <c r="AK88" i="1"/>
  <c r="AK89" i="1"/>
  <c r="AK90" i="1"/>
  <c r="AK91" i="1"/>
  <c r="AK92" i="1"/>
  <c r="AK93" i="1"/>
  <c r="AK94" i="1"/>
  <c r="AK95" i="1"/>
  <c r="AK96" i="1"/>
  <c r="AK97" i="1"/>
  <c r="AK98" i="1"/>
  <c r="AK99" i="1"/>
  <c r="AK100" i="1"/>
  <c r="AK101" i="1"/>
  <c r="AK102" i="1"/>
  <c r="AK103" i="1"/>
  <c r="AK104" i="1"/>
  <c r="AK105" i="1"/>
  <c r="AK106" i="1"/>
  <c r="AK107" i="1"/>
  <c r="AK108" i="1"/>
  <c r="AK109"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3" i="1"/>
  <c r="AK194" i="1"/>
  <c r="AK195" i="1"/>
  <c r="AK196" i="1"/>
  <c r="AK197" i="1"/>
  <c r="AK198" i="1"/>
  <c r="AK199" i="1"/>
  <c r="AK200" i="1"/>
  <c r="AK201" i="1"/>
  <c r="AK202" i="1"/>
  <c r="AK203" i="1"/>
  <c r="AK205" i="1"/>
  <c r="AK206" i="1"/>
  <c r="AK207" i="1"/>
  <c r="AK208" i="1"/>
  <c r="AK209" i="1"/>
  <c r="AK210" i="1"/>
  <c r="AK211" i="1"/>
  <c r="AK212" i="1"/>
  <c r="AK213" i="1"/>
  <c r="AK214" i="1"/>
  <c r="AK216" i="1"/>
  <c r="AK217" i="1"/>
  <c r="AK218" i="1"/>
  <c r="AK219" i="1"/>
  <c r="AK221" i="1"/>
  <c r="AK222" i="1"/>
  <c r="AK223" i="1"/>
  <c r="AK224"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192" i="1"/>
  <c r="AK301" i="1"/>
  <c r="AK302" i="1"/>
  <c r="AK303" i="1"/>
  <c r="AK304" i="1"/>
  <c r="AK305" i="1"/>
  <c r="AK306" i="1"/>
  <c r="AK307" i="1"/>
  <c r="AK308" i="1"/>
  <c r="AK309" i="1"/>
  <c r="AK310" i="1"/>
  <c r="AK311" i="1"/>
  <c r="AK312" i="1"/>
  <c r="AK313" i="1"/>
  <c r="AK314" i="1"/>
  <c r="AK315" i="1"/>
  <c r="AK316" i="1"/>
  <c r="AK330" i="1"/>
  <c r="AJ2" i="1"/>
  <c r="AJ3"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87" i="1"/>
  <c r="AJ79" i="1"/>
  <c r="AJ80" i="1"/>
  <c r="AJ81" i="1"/>
  <c r="AJ82" i="1"/>
  <c r="AJ83" i="1"/>
  <c r="AJ84" i="1"/>
  <c r="AJ88" i="1"/>
  <c r="AJ89" i="1"/>
  <c r="AJ90" i="1"/>
  <c r="AJ91" i="1"/>
  <c r="AJ92" i="1"/>
  <c r="AJ93" i="1"/>
  <c r="AJ94" i="1"/>
  <c r="AJ95" i="1"/>
  <c r="AJ96" i="1"/>
  <c r="AJ97" i="1"/>
  <c r="AJ98" i="1"/>
  <c r="AJ99" i="1"/>
  <c r="AJ100" i="1"/>
  <c r="AJ101" i="1"/>
  <c r="AJ102" i="1"/>
  <c r="AJ103" i="1"/>
  <c r="AJ104" i="1"/>
  <c r="AJ105" i="1"/>
  <c r="AJ106" i="1"/>
  <c r="AJ107" i="1"/>
  <c r="AJ108" i="1"/>
  <c r="AJ109"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3" i="1"/>
  <c r="AJ194" i="1"/>
  <c r="AJ195" i="1"/>
  <c r="AJ196" i="1"/>
  <c r="AJ197" i="1"/>
  <c r="AJ198" i="1"/>
  <c r="AJ199" i="1"/>
  <c r="AJ200" i="1"/>
  <c r="AJ201" i="1"/>
  <c r="AJ202" i="1"/>
  <c r="AJ203" i="1"/>
  <c r="AJ205" i="1"/>
  <c r="AJ206" i="1"/>
  <c r="AJ207" i="1"/>
  <c r="AJ208" i="1"/>
  <c r="AJ209" i="1"/>
  <c r="AJ210" i="1"/>
  <c r="AJ211" i="1"/>
  <c r="AJ212" i="1"/>
  <c r="AJ213" i="1"/>
  <c r="AJ214" i="1"/>
  <c r="AJ216" i="1"/>
  <c r="AJ217" i="1"/>
  <c r="AJ218" i="1"/>
  <c r="AJ219" i="1"/>
  <c r="AJ221" i="1"/>
  <c r="AJ222" i="1"/>
  <c r="AJ223" i="1"/>
  <c r="AJ224"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192" i="1"/>
  <c r="AJ301" i="1"/>
  <c r="AJ302" i="1"/>
  <c r="AJ303" i="1"/>
  <c r="AJ304" i="1"/>
  <c r="AJ305" i="1"/>
  <c r="AJ306" i="1"/>
  <c r="AJ307" i="1"/>
  <c r="AJ308" i="1"/>
  <c r="AJ309" i="1"/>
  <c r="AJ310" i="1"/>
  <c r="AJ311" i="1"/>
  <c r="AJ312" i="1"/>
  <c r="AJ313" i="1"/>
  <c r="AJ314" i="1"/>
  <c r="AJ315" i="1"/>
  <c r="AJ316" i="1"/>
  <c r="AJ330" i="1"/>
  <c r="AI2" i="1"/>
  <c r="AI3" i="1"/>
  <c r="AI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87" i="1"/>
  <c r="AI79" i="1"/>
  <c r="AI80" i="1"/>
  <c r="AI81" i="1"/>
  <c r="AI82" i="1"/>
  <c r="AI83" i="1"/>
  <c r="AI84" i="1"/>
  <c r="AI88" i="1"/>
  <c r="AI89" i="1"/>
  <c r="AI90" i="1"/>
  <c r="AI91" i="1"/>
  <c r="AI92" i="1"/>
  <c r="AI93" i="1"/>
  <c r="AI94" i="1"/>
  <c r="AI95" i="1"/>
  <c r="AI96" i="1"/>
  <c r="AI97" i="1"/>
  <c r="AI98" i="1"/>
  <c r="AI99" i="1"/>
  <c r="AI100" i="1"/>
  <c r="AI101" i="1"/>
  <c r="AI102" i="1"/>
  <c r="AI103" i="1"/>
  <c r="AI104" i="1"/>
  <c r="AI105" i="1"/>
  <c r="AI106" i="1"/>
  <c r="AI107" i="1"/>
  <c r="AI108" i="1"/>
  <c r="AI109"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3" i="1"/>
  <c r="AI194" i="1"/>
  <c r="AI195" i="1"/>
  <c r="AI196" i="1"/>
  <c r="AI197" i="1"/>
  <c r="AI198" i="1"/>
  <c r="AI199" i="1"/>
  <c r="AI200" i="1"/>
  <c r="AI201" i="1"/>
  <c r="AI202" i="1"/>
  <c r="AI203" i="1"/>
  <c r="AI205" i="1"/>
  <c r="AI206" i="1"/>
  <c r="AI207" i="1"/>
  <c r="AI208" i="1"/>
  <c r="AI209" i="1"/>
  <c r="AI210" i="1"/>
  <c r="AI211" i="1"/>
  <c r="AI212" i="1"/>
  <c r="AI213" i="1"/>
  <c r="AI214" i="1"/>
  <c r="AI216" i="1"/>
  <c r="AI217" i="1"/>
  <c r="AI218" i="1"/>
  <c r="AI219" i="1"/>
  <c r="AI221" i="1"/>
  <c r="AI222" i="1"/>
  <c r="AI223" i="1"/>
  <c r="AI224"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192" i="1"/>
  <c r="AI301" i="1"/>
  <c r="AI302" i="1"/>
  <c r="AI303" i="1"/>
  <c r="AI304" i="1"/>
  <c r="AI305" i="1"/>
  <c r="AI306" i="1"/>
  <c r="AI307" i="1"/>
  <c r="AI308" i="1"/>
  <c r="AI309" i="1"/>
  <c r="AI310" i="1"/>
  <c r="AI311" i="1"/>
  <c r="AI312" i="1"/>
  <c r="AI313" i="1"/>
  <c r="AI314" i="1"/>
  <c r="AI315" i="1"/>
  <c r="AI316" i="1"/>
  <c r="AI330" i="1"/>
  <c r="AH2" i="1"/>
  <c r="AH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87" i="1"/>
  <c r="AH79" i="1"/>
  <c r="AH80" i="1"/>
  <c r="AH81" i="1"/>
  <c r="AH82" i="1"/>
  <c r="AH83" i="1"/>
  <c r="AH84" i="1"/>
  <c r="AH88" i="1"/>
  <c r="AH89" i="1"/>
  <c r="AH90" i="1"/>
  <c r="AH91" i="1"/>
  <c r="AH92" i="1"/>
  <c r="AH93" i="1"/>
  <c r="AH94" i="1"/>
  <c r="AH95" i="1"/>
  <c r="AH96" i="1"/>
  <c r="AH97" i="1"/>
  <c r="AH98" i="1"/>
  <c r="AH99" i="1"/>
  <c r="AH100" i="1"/>
  <c r="AH101" i="1"/>
  <c r="AH102" i="1"/>
  <c r="AH103" i="1"/>
  <c r="AH104" i="1"/>
  <c r="AH105" i="1"/>
  <c r="AH106" i="1"/>
  <c r="AH107" i="1"/>
  <c r="AH108" i="1"/>
  <c r="AH109"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3" i="1"/>
  <c r="AH194" i="1"/>
  <c r="AH195" i="1"/>
  <c r="AH196" i="1"/>
  <c r="AH197" i="1"/>
  <c r="AH198" i="1"/>
  <c r="AH199" i="1"/>
  <c r="AH200" i="1"/>
  <c r="AH201" i="1"/>
  <c r="AH202" i="1"/>
  <c r="AH203" i="1"/>
  <c r="AH205" i="1"/>
  <c r="AH206" i="1"/>
  <c r="AH207" i="1"/>
  <c r="AH208" i="1"/>
  <c r="AH209" i="1"/>
  <c r="AH210" i="1"/>
  <c r="AH211" i="1"/>
  <c r="AH212" i="1"/>
  <c r="AH213" i="1"/>
  <c r="AH214" i="1"/>
  <c r="AH216" i="1"/>
  <c r="AH217" i="1"/>
  <c r="AH218" i="1"/>
  <c r="AH219" i="1"/>
  <c r="AH221" i="1"/>
  <c r="AH222" i="1"/>
  <c r="AH223" i="1"/>
  <c r="AH224"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259" i="1"/>
  <c r="AH260" i="1"/>
  <c r="AH261" i="1"/>
  <c r="AH262" i="1"/>
  <c r="AH263" i="1"/>
  <c r="AH264" i="1"/>
  <c r="AH265" i="1"/>
  <c r="AH266" i="1"/>
  <c r="AH267" i="1"/>
  <c r="AH268" i="1"/>
  <c r="AH269" i="1"/>
  <c r="AH270" i="1"/>
  <c r="AH271" i="1"/>
  <c r="AH272" i="1"/>
  <c r="AH273" i="1"/>
  <c r="AH274" i="1"/>
  <c r="AH275" i="1"/>
  <c r="AH276" i="1"/>
  <c r="AH277" i="1"/>
  <c r="AH278" i="1"/>
  <c r="AH279" i="1"/>
  <c r="AH280" i="1"/>
  <c r="AH281" i="1"/>
  <c r="AH282" i="1"/>
  <c r="AH283" i="1"/>
  <c r="AH284" i="1"/>
  <c r="AH285" i="1"/>
  <c r="AH286" i="1"/>
  <c r="AH287" i="1"/>
  <c r="AH288" i="1"/>
  <c r="AH289" i="1"/>
  <c r="AH290" i="1"/>
  <c r="AH291" i="1"/>
  <c r="AH292" i="1"/>
  <c r="AH293" i="1"/>
  <c r="AH294" i="1"/>
  <c r="AH295" i="1"/>
  <c r="AH296" i="1"/>
  <c r="AH297" i="1"/>
  <c r="AH298" i="1"/>
  <c r="AH299" i="1"/>
  <c r="AH300" i="1"/>
  <c r="AH192" i="1"/>
  <c r="AH301" i="1"/>
  <c r="AH302" i="1"/>
  <c r="AH303" i="1"/>
  <c r="AH304" i="1"/>
  <c r="AH305" i="1"/>
  <c r="AH306" i="1"/>
  <c r="AH307" i="1"/>
  <c r="AH308" i="1"/>
  <c r="AH309" i="1"/>
  <c r="AH310" i="1"/>
  <c r="AH311" i="1"/>
  <c r="AH312" i="1"/>
  <c r="AH313" i="1"/>
  <c r="AH314" i="1"/>
  <c r="AH315" i="1"/>
  <c r="AH316" i="1"/>
  <c r="AH330" i="1"/>
  <c r="AG2" i="1"/>
  <c r="AG3" i="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87" i="1"/>
  <c r="AG79" i="1"/>
  <c r="AG80" i="1"/>
  <c r="AG81" i="1"/>
  <c r="AG82" i="1"/>
  <c r="AG83" i="1"/>
  <c r="AG84" i="1"/>
  <c r="AG88" i="1"/>
  <c r="AG89" i="1"/>
  <c r="AG90" i="1"/>
  <c r="AG91" i="1"/>
  <c r="AG92" i="1"/>
  <c r="AG93" i="1"/>
  <c r="AG94" i="1"/>
  <c r="AG95" i="1"/>
  <c r="AG96" i="1"/>
  <c r="AG97" i="1"/>
  <c r="AG98" i="1"/>
  <c r="AG99" i="1"/>
  <c r="AG100" i="1"/>
  <c r="AG101" i="1"/>
  <c r="AG102" i="1"/>
  <c r="AG103" i="1"/>
  <c r="AG104" i="1"/>
  <c r="AG105" i="1"/>
  <c r="AG106" i="1"/>
  <c r="AG107" i="1"/>
  <c r="AG108" i="1"/>
  <c r="AG109" i="1"/>
  <c r="AG111" i="1"/>
  <c r="AG112" i="1"/>
  <c r="AG113" i="1"/>
  <c r="AG114" i="1"/>
  <c r="AG115" i="1"/>
  <c r="AG116" i="1"/>
  <c r="AG117" i="1"/>
  <c r="AG118" i="1"/>
  <c r="AG119" i="1"/>
  <c r="AG120"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3" i="1"/>
  <c r="AG194" i="1"/>
  <c r="AG195" i="1"/>
  <c r="AG196" i="1"/>
  <c r="AG197" i="1"/>
  <c r="AG198" i="1"/>
  <c r="AG199" i="1"/>
  <c r="AG200" i="1"/>
  <c r="AG201" i="1"/>
  <c r="AG202" i="1"/>
  <c r="AG203" i="1"/>
  <c r="AG205" i="1"/>
  <c r="AG206" i="1"/>
  <c r="AG207" i="1"/>
  <c r="AG208" i="1"/>
  <c r="AG209" i="1"/>
  <c r="AG210" i="1"/>
  <c r="AG211" i="1"/>
  <c r="AG212" i="1"/>
  <c r="AG213" i="1"/>
  <c r="AG214" i="1"/>
  <c r="AG216" i="1"/>
  <c r="AG217" i="1"/>
  <c r="AG218" i="1"/>
  <c r="AG219" i="1"/>
  <c r="AG221" i="1"/>
  <c r="AG222" i="1"/>
  <c r="AG223" i="1"/>
  <c r="AG224"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192" i="1"/>
  <c r="AG301" i="1"/>
  <c r="AG302" i="1"/>
  <c r="AG303" i="1"/>
  <c r="AG304" i="1"/>
  <c r="AG305" i="1"/>
  <c r="AG306" i="1"/>
  <c r="AG307" i="1"/>
  <c r="AG308" i="1"/>
  <c r="AG309" i="1"/>
  <c r="AG310" i="1"/>
  <c r="AG311" i="1"/>
  <c r="AG312" i="1"/>
  <c r="AG313" i="1"/>
  <c r="AG314" i="1"/>
  <c r="AG315" i="1"/>
  <c r="AG316" i="1"/>
  <c r="AG330" i="1"/>
  <c r="E82" i="5" l="1"/>
  <c r="E83" i="5"/>
  <c r="E84" i="5"/>
  <c r="E85" i="5"/>
  <c r="E86" i="5"/>
  <c r="E87" i="5"/>
  <c r="E88" i="5"/>
  <c r="E89" i="5"/>
  <c r="E90" i="5"/>
  <c r="E91" i="5"/>
  <c r="E92" i="5"/>
  <c r="E93" i="5"/>
  <c r="H117" i="5" l="1"/>
  <c r="E117" i="5" l="1"/>
  <c r="G117" i="5"/>
  <c r="AF120" i="1"/>
  <c r="V120" i="1"/>
  <c r="AF121" i="1"/>
  <c r="V121" i="1"/>
  <c r="AO120" i="1" l="1"/>
  <c r="AO121" i="1"/>
  <c r="AU120" i="1" l="1"/>
  <c r="AV120" i="1"/>
  <c r="BB120" i="1"/>
  <c r="AU121" i="1"/>
  <c r="AT121" i="1"/>
  <c r="F65" i="5"/>
  <c r="J65" i="5" s="1"/>
  <c r="G65" i="5"/>
  <c r="AF275" i="1"/>
  <c r="V275" i="1"/>
  <c r="AF123" i="1"/>
  <c r="V123" i="1"/>
  <c r="AF124" i="1"/>
  <c r="V124" i="1"/>
  <c r="G62" i="5"/>
  <c r="G64" i="5"/>
  <c r="I62" i="5"/>
  <c r="H64" i="5"/>
  <c r="F64" i="5"/>
  <c r="I63" i="5"/>
  <c r="H62" i="5"/>
  <c r="F63" i="5"/>
  <c r="F62" i="5"/>
  <c r="I64" i="5"/>
  <c r="BB121" i="1" l="1"/>
  <c r="K62" i="5"/>
  <c r="D94" i="5" s="1"/>
  <c r="E94" i="5" s="1"/>
  <c r="J64" i="5"/>
  <c r="K64" i="5"/>
  <c r="J62" i="5"/>
  <c r="K63" i="5"/>
  <c r="J63" i="5"/>
  <c r="AO275" i="1"/>
  <c r="AO123" i="1"/>
  <c r="AR123" i="1" s="1"/>
  <c r="BB123" i="1" s="1"/>
  <c r="AO124" i="1"/>
  <c r="AR124" i="1" s="1"/>
  <c r="BB124" i="1" s="1"/>
  <c r="AU275" i="1" l="1"/>
  <c r="AT275" i="1"/>
  <c r="BB275" i="1" s="1"/>
  <c r="AQ36" i="1"/>
  <c r="AQ45" i="1"/>
  <c r="AQ46" i="1"/>
  <c r="AQ47" i="1"/>
  <c r="AF3" i="1" l="1"/>
  <c r="I51" i="5"/>
  <c r="AO3" i="1" l="1"/>
  <c r="I48" i="5"/>
  <c r="I49" i="5"/>
  <c r="O8" i="5"/>
  <c r="I50" i="5"/>
  <c r="I47" i="5"/>
  <c r="K14" i="5"/>
  <c r="I53" i="5" l="1"/>
  <c r="M39" i="5" s="1"/>
  <c r="M19" i="5"/>
  <c r="M20" i="5" s="1"/>
  <c r="M21" i="5" s="1"/>
  <c r="AQ3" i="1"/>
  <c r="M33" i="5"/>
  <c r="M34" i="5" s="1"/>
  <c r="M35" i="5" s="1"/>
  <c r="M36" i="5" s="1"/>
  <c r="M37" i="5" l="1"/>
  <c r="M38" i="5" s="1"/>
  <c r="M40" i="5" s="1"/>
  <c r="M41" i="5"/>
  <c r="H116" i="5"/>
  <c r="G116" i="5" s="1"/>
  <c r="G115" i="5"/>
  <c r="E115" i="5"/>
  <c r="H114" i="5"/>
  <c r="E114" i="5" s="1"/>
  <c r="H113" i="5"/>
  <c r="E113" i="5" s="1"/>
  <c r="H112" i="5"/>
  <c r="G112" i="5" s="1"/>
  <c r="H111" i="5"/>
  <c r="E111" i="5" s="1"/>
  <c r="H110" i="5"/>
  <c r="E110" i="5" s="1"/>
  <c r="H109" i="5"/>
  <c r="G109" i="5" s="1"/>
  <c r="H108" i="5"/>
  <c r="G108" i="5" s="1"/>
  <c r="H107" i="5"/>
  <c r="E107" i="5" s="1"/>
  <c r="H106" i="5"/>
  <c r="E106" i="5" s="1"/>
  <c r="H105" i="5"/>
  <c r="G104" i="5"/>
  <c r="E104" i="5"/>
  <c r="G105" i="5" l="1"/>
  <c r="G110" i="5"/>
  <c r="E112" i="5"/>
  <c r="E109" i="5"/>
  <c r="G107" i="5"/>
  <c r="E105" i="5"/>
  <c r="G113" i="5"/>
  <c r="E116" i="5"/>
  <c r="G106" i="5"/>
  <c r="E108" i="5"/>
  <c r="G111" i="5"/>
  <c r="F66" i="5"/>
  <c r="H66" i="5"/>
  <c r="I66" i="5"/>
  <c r="G66" i="5"/>
  <c r="K65" i="5"/>
  <c r="M25" i="5"/>
  <c r="M27" i="5" s="1"/>
  <c r="J66" i="5" l="1"/>
  <c r="K66" i="5"/>
  <c r="G114" i="5"/>
  <c r="L14" i="5" l="1"/>
  <c r="M14" i="5" s="1"/>
  <c r="P8" i="5"/>
  <c r="Q8" i="5" s="1"/>
  <c r="H118" i="5"/>
  <c r="H119" i="5" l="1"/>
  <c r="G119" i="5" s="1"/>
  <c r="G147" i="5"/>
  <c r="E147" i="5"/>
  <c r="G118" i="5"/>
  <c r="E118" i="5"/>
  <c r="M22" i="5" l="1"/>
  <c r="E119" i="5"/>
  <c r="V126" i="1"/>
  <c r="AO126" i="1" s="1"/>
  <c r="M23" i="5" l="1"/>
  <c r="M24" i="5" s="1"/>
  <c r="AF274" i="1"/>
  <c r="V274" i="1"/>
  <c r="M26" i="5" l="1"/>
  <c r="AO274" i="1"/>
  <c r="AU274" i="1" l="1"/>
  <c r="AT274" i="1"/>
  <c r="BB274" i="1" s="1"/>
  <c r="AF2" i="1"/>
  <c r="AF89" i="1"/>
  <c r="AF4" i="1"/>
  <c r="AF90" i="1"/>
  <c r="AF5" i="1"/>
  <c r="AF91" i="1"/>
  <c r="AF92" i="1"/>
  <c r="AF93" i="1"/>
  <c r="AF94" i="1"/>
  <c r="AF95" i="1"/>
  <c r="AF6" i="1"/>
  <c r="AF96" i="1"/>
  <c r="AF97" i="1"/>
  <c r="AF98" i="1"/>
  <c r="AF99" i="1"/>
  <c r="AF193" i="1"/>
  <c r="AF101" i="1"/>
  <c r="AF102" i="1"/>
  <c r="AF103" i="1"/>
  <c r="AF194" i="1"/>
  <c r="AF195" i="1"/>
  <c r="AF104" i="1"/>
  <c r="AF196" i="1"/>
  <c r="AF197" i="1"/>
  <c r="AF105" i="1"/>
  <c r="AF106" i="1"/>
  <c r="AF107" i="1"/>
  <c r="AF108" i="1"/>
  <c r="AF198" i="1"/>
  <c r="AF199" i="1"/>
  <c r="AF200" i="1"/>
  <c r="AF109" i="1"/>
  <c r="AF111" i="1"/>
  <c r="AF112" i="1"/>
  <c r="AF113" i="1"/>
  <c r="AF114" i="1"/>
  <c r="AF201" i="1"/>
  <c r="AF115" i="1"/>
  <c r="AF116" i="1"/>
  <c r="AF117" i="1"/>
  <c r="AF202" i="1"/>
  <c r="AF118" i="1"/>
  <c r="AF203" i="1"/>
  <c r="AF119" i="1"/>
  <c r="AF122" i="1"/>
  <c r="AF125" i="1"/>
  <c r="AF127" i="1"/>
  <c r="AF128" i="1"/>
  <c r="AF129" i="1"/>
  <c r="AF205" i="1"/>
  <c r="AF130" i="1"/>
  <c r="AF206" i="1"/>
  <c r="AF207" i="1"/>
  <c r="AF131" i="1"/>
  <c r="AF132" i="1"/>
  <c r="AF133" i="1"/>
  <c r="AF134" i="1"/>
  <c r="AF208" i="1"/>
  <c r="AF135" i="1"/>
  <c r="AF136" i="1"/>
  <c r="AF209" i="1"/>
  <c r="AF210" i="1"/>
  <c r="AF211" i="1"/>
  <c r="AF212" i="1"/>
  <c r="AF213" i="1"/>
  <c r="AF214" i="1"/>
  <c r="AF137" i="1"/>
  <c r="AF216" i="1"/>
  <c r="AF139" i="1"/>
  <c r="AF217" i="1"/>
  <c r="AF218" i="1"/>
  <c r="AF140" i="1"/>
  <c r="AF141" i="1"/>
  <c r="AF219" i="1"/>
  <c r="AF142" i="1"/>
  <c r="AF221" i="1"/>
  <c r="AF222" i="1"/>
  <c r="AF223" i="1"/>
  <c r="AF224" i="1"/>
  <c r="AF143" i="1"/>
  <c r="AF144" i="1"/>
  <c r="AF226" i="1"/>
  <c r="AF227" i="1"/>
  <c r="AF228" i="1"/>
  <c r="AF229" i="1"/>
  <c r="AF230" i="1"/>
  <c r="AF231" i="1"/>
  <c r="AF232" i="1"/>
  <c r="AF233" i="1"/>
  <c r="AF234" i="1"/>
  <c r="AF235" i="1"/>
  <c r="AF145" i="1"/>
  <c r="AF236" i="1"/>
  <c r="AF237" i="1"/>
  <c r="AF238" i="1"/>
  <c r="AF239" i="1"/>
  <c r="AF240" i="1"/>
  <c r="AF241" i="1"/>
  <c r="AF242" i="1"/>
  <c r="AF146" i="1"/>
  <c r="AF243" i="1"/>
  <c r="AF147" i="1"/>
  <c r="AF244" i="1"/>
  <c r="AF148" i="1"/>
  <c r="AF245" i="1"/>
  <c r="AF246" i="1"/>
  <c r="AF247" i="1"/>
  <c r="AF149" i="1"/>
  <c r="AF150" i="1"/>
  <c r="AF151" i="1"/>
  <c r="AF248" i="1"/>
  <c r="AF152" i="1"/>
  <c r="AF249" i="1"/>
  <c r="AF250" i="1"/>
  <c r="AF153" i="1"/>
  <c r="AF251" i="1"/>
  <c r="AF154" i="1"/>
  <c r="AF252" i="1"/>
  <c r="AF155" i="1"/>
  <c r="AF253" i="1"/>
  <c r="AF156" i="1"/>
  <c r="AF157" i="1"/>
  <c r="AF254" i="1"/>
  <c r="AF255" i="1"/>
  <c r="AF256" i="1"/>
  <c r="AF257" i="1"/>
  <c r="AF258" i="1"/>
  <c r="AF259" i="1"/>
  <c r="AF260" i="1"/>
  <c r="AF158" i="1"/>
  <c r="AF261" i="1"/>
  <c r="AF159" i="1"/>
  <c r="AF160" i="1"/>
  <c r="AF262" i="1"/>
  <c r="AF263" i="1"/>
  <c r="AF161" i="1"/>
  <c r="AF162" i="1"/>
  <c r="AF163" i="1"/>
  <c r="AF264" i="1"/>
  <c r="AF164" i="1"/>
  <c r="AF265" i="1"/>
  <c r="AF165" i="1"/>
  <c r="AF266" i="1"/>
  <c r="AF267" i="1"/>
  <c r="AF268" i="1"/>
  <c r="AF269" i="1"/>
  <c r="AF270" i="1"/>
  <c r="AF166" i="1"/>
  <c r="AF271" i="1"/>
  <c r="AF272" i="1"/>
  <c r="AF167" i="1"/>
  <c r="AF168" i="1"/>
  <c r="AF169" i="1"/>
  <c r="AF273" i="1"/>
  <c r="AF170" i="1"/>
  <c r="AF276" i="1"/>
  <c r="AF277" i="1"/>
  <c r="AF278" i="1"/>
  <c r="AF279" i="1"/>
  <c r="AF280" i="1"/>
  <c r="AF281" i="1"/>
  <c r="AF282" i="1"/>
  <c r="AF171" i="1"/>
  <c r="AF172" i="1"/>
  <c r="AF283" i="1"/>
  <c r="AF284" i="1"/>
  <c r="AF173" i="1"/>
  <c r="AF285" i="1"/>
  <c r="AF286" i="1"/>
  <c r="AF174" i="1"/>
  <c r="AF287" i="1"/>
  <c r="AF175" i="1"/>
  <c r="AF288" i="1"/>
  <c r="AF289" i="1"/>
  <c r="AF176" i="1"/>
  <c r="AF177" i="1"/>
  <c r="AF290" i="1"/>
  <c r="AF291" i="1"/>
  <c r="AF178" i="1"/>
  <c r="AF179" i="1"/>
  <c r="AF292" i="1"/>
  <c r="AF180" i="1"/>
  <c r="AF181" i="1"/>
  <c r="AF182" i="1"/>
  <c r="AF293" i="1"/>
  <c r="AF294" i="1"/>
  <c r="AF295" i="1"/>
  <c r="AF296" i="1"/>
  <c r="AF297" i="1"/>
  <c r="AF183" i="1"/>
  <c r="AF298" i="1"/>
  <c r="AF184" i="1"/>
  <c r="AF185" i="1"/>
  <c r="AF299" i="1"/>
  <c r="AF186" i="1"/>
  <c r="AF187" i="1"/>
  <c r="AF300" i="1"/>
  <c r="AF192" i="1"/>
  <c r="AF301" i="1"/>
  <c r="AF302" i="1"/>
  <c r="AF303" i="1"/>
  <c r="AF304" i="1"/>
  <c r="AF305" i="1"/>
  <c r="AF188" i="1"/>
  <c r="AF306" i="1"/>
  <c r="AF307" i="1"/>
  <c r="AF308" i="1"/>
  <c r="AF309" i="1"/>
  <c r="AF189" i="1"/>
  <c r="AF310" i="1"/>
  <c r="AF311" i="1"/>
  <c r="AF312" i="1"/>
  <c r="AF313" i="1"/>
  <c r="AF314" i="1"/>
  <c r="AF190" i="1"/>
  <c r="AF191" i="1"/>
  <c r="AF315" i="1"/>
  <c r="AF316" i="1"/>
  <c r="V88" i="1"/>
  <c r="V89" i="1"/>
  <c r="V90" i="1"/>
  <c r="V91" i="1"/>
  <c r="V92" i="1"/>
  <c r="V93" i="1"/>
  <c r="V94" i="1"/>
  <c r="V95" i="1"/>
  <c r="V96" i="1"/>
  <c r="V97" i="1"/>
  <c r="V98" i="1"/>
  <c r="V99" i="1"/>
  <c r="V193" i="1"/>
  <c r="V100" i="1"/>
  <c r="V101" i="1"/>
  <c r="V102" i="1"/>
  <c r="V103" i="1"/>
  <c r="V194" i="1"/>
  <c r="V195" i="1"/>
  <c r="V104" i="1"/>
  <c r="V196" i="1"/>
  <c r="V197" i="1"/>
  <c r="V105" i="1"/>
  <c r="V106" i="1"/>
  <c r="V107" i="1"/>
  <c r="V108" i="1"/>
  <c r="V198" i="1"/>
  <c r="V199" i="1"/>
  <c r="V200" i="1"/>
  <c r="V109" i="1"/>
  <c r="V111" i="1"/>
  <c r="V112" i="1"/>
  <c r="V113" i="1"/>
  <c r="V114" i="1"/>
  <c r="V201" i="1"/>
  <c r="V115" i="1"/>
  <c r="V116" i="1"/>
  <c r="V117" i="1"/>
  <c r="V202" i="1"/>
  <c r="V118" i="1"/>
  <c r="V203" i="1"/>
  <c r="V119" i="1"/>
  <c r="V122" i="1"/>
  <c r="V125" i="1"/>
  <c r="V127" i="1"/>
  <c r="V128" i="1"/>
  <c r="V129" i="1"/>
  <c r="V205" i="1"/>
  <c r="V130" i="1"/>
  <c r="V206" i="1"/>
  <c r="V207" i="1"/>
  <c r="V131" i="1"/>
  <c r="V132" i="1"/>
  <c r="V133" i="1"/>
  <c r="V134" i="1"/>
  <c r="V208" i="1"/>
  <c r="V135" i="1"/>
  <c r="V136" i="1"/>
  <c r="V209" i="1"/>
  <c r="V210" i="1"/>
  <c r="V211" i="1"/>
  <c r="V212" i="1"/>
  <c r="V213" i="1"/>
  <c r="V137" i="1"/>
  <c r="V216" i="1"/>
  <c r="V139" i="1"/>
  <c r="V217" i="1"/>
  <c r="V218" i="1"/>
  <c r="V140" i="1"/>
  <c r="V141" i="1"/>
  <c r="V219" i="1"/>
  <c r="V142" i="1"/>
  <c r="V221" i="1"/>
  <c r="V222" i="1"/>
  <c r="V223" i="1"/>
  <c r="V224" i="1"/>
  <c r="V143" i="1"/>
  <c r="AO50" i="1"/>
  <c r="AQ50" i="1" s="1"/>
  <c r="V144" i="1"/>
  <c r="V226" i="1"/>
  <c r="V227" i="1"/>
  <c r="V228" i="1"/>
  <c r="V229" i="1"/>
  <c r="V230" i="1"/>
  <c r="V231" i="1"/>
  <c r="V232" i="1"/>
  <c r="V233" i="1"/>
  <c r="V234" i="1"/>
  <c r="V235" i="1"/>
  <c r="V145" i="1"/>
  <c r="V236" i="1"/>
  <c r="V237" i="1"/>
  <c r="V238" i="1"/>
  <c r="V239" i="1"/>
  <c r="V240" i="1"/>
  <c r="V241" i="1"/>
  <c r="V242" i="1"/>
  <c r="V146" i="1"/>
  <c r="V243" i="1"/>
  <c r="V147" i="1"/>
  <c r="V244" i="1"/>
  <c r="V148" i="1"/>
  <c r="V245" i="1"/>
  <c r="V246" i="1"/>
  <c r="V247" i="1"/>
  <c r="V149" i="1"/>
  <c r="V150" i="1"/>
  <c r="V151" i="1"/>
  <c r="V248" i="1"/>
  <c r="V152" i="1"/>
  <c r="V249" i="1"/>
  <c r="V250" i="1"/>
  <c r="V153" i="1"/>
  <c r="V251" i="1"/>
  <c r="V154" i="1"/>
  <c r="V252" i="1"/>
  <c r="V155" i="1"/>
  <c r="V253" i="1"/>
  <c r="V156" i="1"/>
  <c r="V157" i="1"/>
  <c r="V254" i="1"/>
  <c r="V255" i="1"/>
  <c r="V256" i="1"/>
  <c r="V257" i="1"/>
  <c r="V258" i="1"/>
  <c r="V259" i="1"/>
  <c r="V260" i="1"/>
  <c r="V158" i="1"/>
  <c r="V261" i="1"/>
  <c r="V159" i="1"/>
  <c r="V160" i="1"/>
  <c r="V262" i="1"/>
  <c r="V263" i="1"/>
  <c r="V161" i="1"/>
  <c r="V162" i="1"/>
  <c r="V163" i="1"/>
  <c r="V264" i="1"/>
  <c r="V164" i="1"/>
  <c r="V265" i="1"/>
  <c r="V165" i="1"/>
  <c r="V266" i="1"/>
  <c r="V267" i="1"/>
  <c r="V268" i="1"/>
  <c r="V269" i="1"/>
  <c r="V270" i="1"/>
  <c r="V166" i="1"/>
  <c r="V271" i="1"/>
  <c r="V272" i="1"/>
  <c r="V167" i="1"/>
  <c r="V168" i="1"/>
  <c r="V169" i="1"/>
  <c r="V273" i="1"/>
  <c r="V170" i="1"/>
  <c r="V276" i="1"/>
  <c r="V277" i="1"/>
  <c r="V278" i="1"/>
  <c r="V279" i="1"/>
  <c r="V280" i="1"/>
  <c r="V281" i="1"/>
  <c r="V282" i="1"/>
  <c r="V171" i="1"/>
  <c r="V172" i="1"/>
  <c r="V283" i="1"/>
  <c r="V284" i="1"/>
  <c r="V173" i="1"/>
  <c r="V285" i="1"/>
  <c r="V286" i="1"/>
  <c r="V174" i="1"/>
  <c r="V287" i="1"/>
  <c r="V175" i="1"/>
  <c r="V288" i="1"/>
  <c r="V289" i="1"/>
  <c r="V176" i="1"/>
  <c r="V177" i="1"/>
  <c r="V290" i="1"/>
  <c r="V291" i="1"/>
  <c r="V178" i="1"/>
  <c r="V179" i="1"/>
  <c r="V292" i="1"/>
  <c r="V180" i="1"/>
  <c r="V181" i="1"/>
  <c r="V182" i="1"/>
  <c r="V293" i="1"/>
  <c r="V294" i="1"/>
  <c r="V295" i="1"/>
  <c r="V296" i="1"/>
  <c r="V297" i="1"/>
  <c r="V183" i="1"/>
  <c r="V298" i="1"/>
  <c r="V184" i="1"/>
  <c r="V185" i="1"/>
  <c r="V299" i="1"/>
  <c r="V186" i="1"/>
  <c r="V187" i="1"/>
  <c r="V300" i="1"/>
  <c r="V192" i="1"/>
  <c r="V301" i="1"/>
  <c r="V302" i="1"/>
  <c r="V303" i="1"/>
  <c r="V304" i="1"/>
  <c r="V305" i="1"/>
  <c r="V188" i="1"/>
  <c r="V306" i="1"/>
  <c r="V307" i="1"/>
  <c r="V308" i="1"/>
  <c r="V309" i="1"/>
  <c r="V189" i="1"/>
  <c r="V310" i="1"/>
  <c r="V311" i="1"/>
  <c r="V312" i="1"/>
  <c r="V313" i="1"/>
  <c r="V314" i="1"/>
  <c r="V190" i="1"/>
  <c r="V191" i="1"/>
  <c r="V315" i="1"/>
  <c r="V316" i="1"/>
  <c r="AO206" i="1" l="1"/>
  <c r="AO189" i="1"/>
  <c r="AO51" i="1"/>
  <c r="AQ51" i="1" s="1"/>
  <c r="AO125" i="1"/>
  <c r="AR125" i="1" s="1"/>
  <c r="BB125" i="1" s="1"/>
  <c r="AO134" i="1"/>
  <c r="AR134" i="1" s="1"/>
  <c r="BB134" i="1" s="1"/>
  <c r="AO249" i="1"/>
  <c r="AO233" i="1"/>
  <c r="AO298" i="1"/>
  <c r="AR298" i="1" s="1"/>
  <c r="BB298" i="1" s="1"/>
  <c r="AO199" i="1"/>
  <c r="AO17" i="1"/>
  <c r="AQ17" i="1" s="1"/>
  <c r="AO9" i="1"/>
  <c r="AQ9" i="1" s="1"/>
  <c r="AO95" i="1"/>
  <c r="AO181" i="1"/>
  <c r="AR181" i="1" s="1"/>
  <c r="BB181" i="1" s="1"/>
  <c r="AO283" i="1"/>
  <c r="AQ81" i="1"/>
  <c r="AO311" i="1"/>
  <c r="AO304" i="1"/>
  <c r="AO315" i="1"/>
  <c r="AO309" i="1"/>
  <c r="AO306" i="1"/>
  <c r="AO300" i="1"/>
  <c r="AO243" i="1"/>
  <c r="AO229" i="1"/>
  <c r="AO44" i="1"/>
  <c r="AQ44" i="1" s="1"/>
  <c r="AO211" i="1"/>
  <c r="AO37" i="1"/>
  <c r="AQ37" i="1" s="1"/>
  <c r="AO112" i="1"/>
  <c r="AR112" i="1" s="1"/>
  <c r="BB112" i="1" s="1"/>
  <c r="AO197" i="1"/>
  <c r="AO13" i="1"/>
  <c r="AQ13" i="1" s="1"/>
  <c r="AQ84" i="1"/>
  <c r="AO266" i="1"/>
  <c r="AO158" i="1"/>
  <c r="AR158" i="1" s="1"/>
  <c r="BB158" i="1" s="1"/>
  <c r="AO190" i="1"/>
  <c r="AR190" i="1" s="1"/>
  <c r="BB190" i="1" s="1"/>
  <c r="AO314" i="1"/>
  <c r="AO79" i="1"/>
  <c r="AQ79" i="1" s="1"/>
  <c r="AO307" i="1"/>
  <c r="AO305" i="1"/>
  <c r="AO302" i="1"/>
  <c r="AO185" i="1"/>
  <c r="AR185" i="1" s="1"/>
  <c r="BB185" i="1" s="1"/>
  <c r="AO160" i="1"/>
  <c r="AR160" i="1" s="1"/>
  <c r="BB160" i="1" s="1"/>
  <c r="AO157" i="1"/>
  <c r="AR157" i="1" s="1"/>
  <c r="BB157" i="1" s="1"/>
  <c r="AO251" i="1"/>
  <c r="AO247" i="1"/>
  <c r="AO238" i="1"/>
  <c r="AO219" i="1"/>
  <c r="AO208" i="1"/>
  <c r="AO130" i="1"/>
  <c r="AR130" i="1" s="1"/>
  <c r="BB130" i="1" s="1"/>
  <c r="AO122" i="1"/>
  <c r="AO22" i="1"/>
  <c r="AQ22" i="1" s="1"/>
  <c r="AO16" i="1"/>
  <c r="AQ16" i="1" s="1"/>
  <c r="AO11" i="1"/>
  <c r="AQ11" i="1" s="1"/>
  <c r="AO316" i="1"/>
  <c r="AO191" i="1"/>
  <c r="AR191" i="1" s="1"/>
  <c r="BB191" i="1" s="1"/>
  <c r="AO82" i="1"/>
  <c r="AQ82" i="1" s="1"/>
  <c r="AO312" i="1"/>
  <c r="AO78" i="1"/>
  <c r="AQ78" i="1" s="1"/>
  <c r="AO301" i="1"/>
  <c r="AO186" i="1"/>
  <c r="AR186" i="1" s="1"/>
  <c r="BB186" i="1" s="1"/>
  <c r="AO297" i="1"/>
  <c r="AO76" i="1"/>
  <c r="AQ76" i="1" s="1"/>
  <c r="AO291" i="1"/>
  <c r="AO74" i="1"/>
  <c r="AQ74" i="1" s="1"/>
  <c r="AO288" i="1"/>
  <c r="AO286" i="1"/>
  <c r="AO276" i="1"/>
  <c r="AO169" i="1"/>
  <c r="AR169" i="1" s="1"/>
  <c r="BB169" i="1" s="1"/>
  <c r="AO83" i="1"/>
  <c r="AQ80" i="1"/>
  <c r="AO313" i="1"/>
  <c r="AO310" i="1"/>
  <c r="AR189" i="1"/>
  <c r="BB189" i="1" s="1"/>
  <c r="AO303" i="1"/>
  <c r="AO192" i="1"/>
  <c r="AO299" i="1"/>
  <c r="AO77" i="1"/>
  <c r="AQ77" i="1" s="1"/>
  <c r="AO295" i="1"/>
  <c r="AO294" i="1"/>
  <c r="AO180" i="1"/>
  <c r="AR180" i="1" s="1"/>
  <c r="BB180" i="1" s="1"/>
  <c r="AO179" i="1"/>
  <c r="AR179" i="1" s="1"/>
  <c r="BB179" i="1" s="1"/>
  <c r="AO290" i="1"/>
  <c r="AO289" i="1"/>
  <c r="AO175" i="1"/>
  <c r="AO285" i="1"/>
  <c r="AO73" i="1"/>
  <c r="AQ73" i="1" s="1"/>
  <c r="AO282" i="1"/>
  <c r="AO280" i="1"/>
  <c r="AO278" i="1"/>
  <c r="AO170" i="1"/>
  <c r="AR170" i="1" s="1"/>
  <c r="BB170" i="1" s="1"/>
  <c r="AO168" i="1"/>
  <c r="AR168" i="1" s="1"/>
  <c r="BB168" i="1" s="1"/>
  <c r="AO269" i="1"/>
  <c r="AO164" i="1"/>
  <c r="AR164" i="1" s="1"/>
  <c r="BB164" i="1" s="1"/>
  <c r="AO163" i="1"/>
  <c r="AR163" i="1" s="1"/>
  <c r="BB163" i="1" s="1"/>
  <c r="AO162" i="1"/>
  <c r="AR162" i="1" s="1"/>
  <c r="BB162" i="1" s="1"/>
  <c r="AO263" i="1"/>
  <c r="AO70" i="1"/>
  <c r="AQ70" i="1" s="1"/>
  <c r="AO69" i="1"/>
  <c r="AQ69" i="1" s="1"/>
  <c r="AO67" i="1"/>
  <c r="AO66" i="1"/>
  <c r="AQ66" i="1" s="1"/>
  <c r="AO257" i="1"/>
  <c r="AO254" i="1"/>
  <c r="AO155" i="1"/>
  <c r="AR155" i="1" s="1"/>
  <c r="BB155" i="1" s="1"/>
  <c r="AO61" i="1"/>
  <c r="AQ61" i="1" s="1"/>
  <c r="AO60" i="1"/>
  <c r="AQ60" i="1" s="1"/>
  <c r="AO59" i="1"/>
  <c r="AQ59" i="1" s="1"/>
  <c r="AO250" i="1"/>
  <c r="AO151" i="1"/>
  <c r="AR151" i="1" s="1"/>
  <c r="BB151" i="1" s="1"/>
  <c r="AO149" i="1"/>
  <c r="AR149" i="1" s="1"/>
  <c r="BB149" i="1" s="1"/>
  <c r="AO245" i="1"/>
  <c r="AO147" i="1"/>
  <c r="AR147" i="1" s="1"/>
  <c r="BB147" i="1" s="1"/>
  <c r="AO242" i="1"/>
  <c r="AO239" i="1"/>
  <c r="AO145" i="1"/>
  <c r="AR145" i="1" s="1"/>
  <c r="BB145" i="1" s="1"/>
  <c r="AO230" i="1"/>
  <c r="AR230" i="1" s="1"/>
  <c r="BB230" i="1" s="1"/>
  <c r="AO52" i="1"/>
  <c r="AQ52" i="1" s="1"/>
  <c r="AO223" i="1"/>
  <c r="AO142" i="1"/>
  <c r="AR142" i="1" s="1"/>
  <c r="BB142" i="1" s="1"/>
  <c r="AO140" i="1"/>
  <c r="AR140" i="1" s="1"/>
  <c r="BB140" i="1" s="1"/>
  <c r="AO217" i="1"/>
  <c r="AO137" i="1"/>
  <c r="AR137" i="1" s="1"/>
  <c r="BB137" i="1" s="1"/>
  <c r="AO43" i="1"/>
  <c r="AQ43" i="1" s="1"/>
  <c r="AO40" i="1"/>
  <c r="AO135" i="1"/>
  <c r="AO129" i="1"/>
  <c r="AR129" i="1" s="1"/>
  <c r="BB129" i="1" s="1"/>
  <c r="AO35" i="1"/>
  <c r="AQ35" i="1" s="1"/>
  <c r="AO32" i="1"/>
  <c r="AQ32" i="1" s="1"/>
  <c r="AO116" i="1"/>
  <c r="AR116" i="1" s="1"/>
  <c r="BB116" i="1" s="1"/>
  <c r="AO30" i="1"/>
  <c r="AQ30" i="1" s="1"/>
  <c r="AO29" i="1"/>
  <c r="AQ29" i="1" s="1"/>
  <c r="AO114" i="1"/>
  <c r="AR114" i="1" s="1"/>
  <c r="BB114" i="1" s="1"/>
  <c r="AO111" i="1"/>
  <c r="AR111" i="1" s="1"/>
  <c r="BB111" i="1" s="1"/>
  <c r="AO200" i="1"/>
  <c r="AO108" i="1"/>
  <c r="AR108" i="1" s="1"/>
  <c r="BB108" i="1" s="1"/>
  <c r="AO19" i="1"/>
  <c r="AQ19" i="1" s="1"/>
  <c r="AO104" i="1"/>
  <c r="AR104" i="1" s="1"/>
  <c r="BB104" i="1" s="1"/>
  <c r="AO100" i="1"/>
  <c r="AR100" i="1" s="1"/>
  <c r="BB100" i="1" s="1"/>
  <c r="AO99" i="1"/>
  <c r="AR99" i="1" s="1"/>
  <c r="BB99" i="1" s="1"/>
  <c r="AO12" i="1"/>
  <c r="AQ12" i="1" s="1"/>
  <c r="AO98" i="1"/>
  <c r="AR98" i="1" s="1"/>
  <c r="BB98" i="1" s="1"/>
  <c r="AO96" i="1"/>
  <c r="AR96" i="1" s="1"/>
  <c r="BB96" i="1" s="1"/>
  <c r="AO93" i="1"/>
  <c r="AR93" i="1" s="1"/>
  <c r="BB93" i="1" s="1"/>
  <c r="AO90" i="1"/>
  <c r="AS90" i="1" s="1"/>
  <c r="BB90" i="1" s="1"/>
  <c r="AO88" i="1"/>
  <c r="AR88" i="1" s="1"/>
  <c r="BB88" i="1" s="1"/>
  <c r="AO296" i="1"/>
  <c r="AO293" i="1"/>
  <c r="AO75" i="1"/>
  <c r="AQ75" i="1" s="1"/>
  <c r="AO176" i="1"/>
  <c r="AR176" i="1" s="1"/>
  <c r="BB176" i="1" s="1"/>
  <c r="AO287" i="1"/>
  <c r="AO173" i="1"/>
  <c r="AR173" i="1" s="1"/>
  <c r="BB173" i="1" s="1"/>
  <c r="AO172" i="1"/>
  <c r="AO281" i="1"/>
  <c r="AO279" i="1"/>
  <c r="AO277" i="1"/>
  <c r="AO273" i="1"/>
  <c r="AO167" i="1"/>
  <c r="AR167" i="1" s="1"/>
  <c r="BB167" i="1" s="1"/>
  <c r="AO166" i="1"/>
  <c r="AR166" i="1" s="1"/>
  <c r="BB166" i="1" s="1"/>
  <c r="AO267" i="1"/>
  <c r="AO72" i="1"/>
  <c r="AQ72" i="1" s="1"/>
  <c r="AO71" i="1"/>
  <c r="AQ71" i="1" s="1"/>
  <c r="AO161" i="1"/>
  <c r="AR161" i="1" s="1"/>
  <c r="BB161" i="1" s="1"/>
  <c r="AO260" i="1"/>
  <c r="AO253" i="1"/>
  <c r="AO252" i="1"/>
  <c r="AO150" i="1"/>
  <c r="AR150" i="1" s="1"/>
  <c r="BB150" i="1" s="1"/>
  <c r="AO148" i="1"/>
  <c r="AR148" i="1" s="1"/>
  <c r="BB148" i="1" s="1"/>
  <c r="AO241" i="1"/>
  <c r="AO235" i="1"/>
  <c r="AO226" i="1"/>
  <c r="AO222" i="1"/>
  <c r="AO218" i="1"/>
  <c r="AO213" i="1"/>
  <c r="AO210" i="1"/>
  <c r="AO131" i="1"/>
  <c r="AR131" i="1" s="1"/>
  <c r="BB131" i="1" s="1"/>
  <c r="AO128" i="1"/>
  <c r="AR128" i="1" s="1"/>
  <c r="BB128" i="1" s="1"/>
  <c r="AO34" i="1"/>
  <c r="AQ34" i="1" s="1"/>
  <c r="AO118" i="1"/>
  <c r="AO115" i="1"/>
  <c r="AR115" i="1" s="1"/>
  <c r="BB115" i="1" s="1"/>
  <c r="AO113" i="1"/>
  <c r="AR113" i="1" s="1"/>
  <c r="BB113" i="1" s="1"/>
  <c r="AO105" i="1"/>
  <c r="AR105" i="1" s="1"/>
  <c r="BB105" i="1" s="1"/>
  <c r="AO2" i="1"/>
  <c r="AO308" i="1"/>
  <c r="AO188" i="1"/>
  <c r="AR188" i="1" s="1"/>
  <c r="BB188" i="1" s="1"/>
  <c r="AO187" i="1"/>
  <c r="AR187" i="1" s="1"/>
  <c r="BB187" i="1" s="1"/>
  <c r="AO184" i="1"/>
  <c r="AR184" i="1" s="1"/>
  <c r="BB184" i="1" s="1"/>
  <c r="AO183" i="1"/>
  <c r="AR183" i="1" s="1"/>
  <c r="BB183" i="1" s="1"/>
  <c r="AO182" i="1"/>
  <c r="AR182" i="1" s="1"/>
  <c r="BB182" i="1" s="1"/>
  <c r="AO292" i="1"/>
  <c r="AO178" i="1"/>
  <c r="AR178" i="1" s="1"/>
  <c r="BB178" i="1" s="1"/>
  <c r="AO177" i="1"/>
  <c r="AR177" i="1" s="1"/>
  <c r="BB177" i="1" s="1"/>
  <c r="AO174" i="1"/>
  <c r="AR174" i="1" s="1"/>
  <c r="BB174" i="1" s="1"/>
  <c r="AO284" i="1"/>
  <c r="AO171" i="1"/>
  <c r="AR171" i="1" s="1"/>
  <c r="BB171" i="1" s="1"/>
  <c r="AO272" i="1"/>
  <c r="AO270" i="1"/>
  <c r="AO159" i="1"/>
  <c r="AR159" i="1" s="1"/>
  <c r="BB159" i="1" s="1"/>
  <c r="AO259" i="1"/>
  <c r="AO258" i="1"/>
  <c r="AO256" i="1"/>
  <c r="AO156" i="1"/>
  <c r="AR156" i="1" s="1"/>
  <c r="BB156" i="1" s="1"/>
  <c r="AO64" i="1"/>
  <c r="AQ64" i="1" s="1"/>
  <c r="AO63" i="1"/>
  <c r="AQ63" i="1" s="1"/>
  <c r="AO152" i="1"/>
  <c r="AR152" i="1" s="1"/>
  <c r="BB152" i="1" s="1"/>
  <c r="AO57" i="1"/>
  <c r="AQ57" i="1" s="1"/>
  <c r="AO246" i="1"/>
  <c r="AO146" i="1"/>
  <c r="AR146" i="1" s="1"/>
  <c r="BB146" i="1" s="1"/>
  <c r="AO237" i="1"/>
  <c r="AO55" i="1"/>
  <c r="AQ55" i="1" s="1"/>
  <c r="AO232" i="1"/>
  <c r="AO231" i="1"/>
  <c r="AO228" i="1"/>
  <c r="AO144" i="1"/>
  <c r="AR144" i="1" s="1"/>
  <c r="BB144" i="1" s="1"/>
  <c r="AO143" i="1"/>
  <c r="AO221" i="1"/>
  <c r="AO139" i="1"/>
  <c r="AR139" i="1" s="1"/>
  <c r="BB139" i="1" s="1"/>
  <c r="AO212" i="1"/>
  <c r="AO209" i="1"/>
  <c r="AO39" i="1"/>
  <c r="AQ39" i="1" s="1"/>
  <c r="AO133" i="1"/>
  <c r="AO205" i="1"/>
  <c r="AO119" i="1"/>
  <c r="AO33" i="1"/>
  <c r="AQ33" i="1" s="1"/>
  <c r="AO202" i="1"/>
  <c r="AO31" i="1"/>
  <c r="AQ31" i="1" s="1"/>
  <c r="AO201" i="1"/>
  <c r="AO28" i="1"/>
  <c r="AQ28" i="1" s="1"/>
  <c r="AO26" i="1"/>
  <c r="AQ26" i="1" s="1"/>
  <c r="AO25" i="1"/>
  <c r="AQ25" i="1" s="1"/>
  <c r="AO198" i="1"/>
  <c r="AO23" i="1"/>
  <c r="AQ23" i="1" s="1"/>
  <c r="AO106" i="1"/>
  <c r="AR106" i="1" s="1"/>
  <c r="BB106" i="1" s="1"/>
  <c r="AO21" i="1"/>
  <c r="AO196" i="1"/>
  <c r="AO18" i="1"/>
  <c r="AQ18" i="1" s="1"/>
  <c r="AO195" i="1"/>
  <c r="AO103" i="1"/>
  <c r="AR103" i="1" s="1"/>
  <c r="BB103" i="1" s="1"/>
  <c r="AO102" i="1"/>
  <c r="AR102" i="1" s="1"/>
  <c r="BB102" i="1" s="1"/>
  <c r="AO15" i="1"/>
  <c r="AQ15" i="1" s="1"/>
  <c r="AO14" i="1"/>
  <c r="AQ14" i="1" s="1"/>
  <c r="AO10" i="1"/>
  <c r="AQ10" i="1" s="1"/>
  <c r="AO97" i="1"/>
  <c r="AR97" i="1" s="1"/>
  <c r="BB97" i="1" s="1"/>
  <c r="AO7" i="1"/>
  <c r="AQ7" i="1" s="1"/>
  <c r="AO92" i="1"/>
  <c r="AR92" i="1" s="1"/>
  <c r="BB92" i="1" s="1"/>
  <c r="AO5" i="1"/>
  <c r="AQ5" i="1" s="1"/>
  <c r="AO4" i="1"/>
  <c r="AQ4" i="1" s="1"/>
  <c r="AO271" i="1"/>
  <c r="AO268" i="1"/>
  <c r="AO165" i="1"/>
  <c r="AR165" i="1" s="1"/>
  <c r="BB165" i="1" s="1"/>
  <c r="AO265" i="1"/>
  <c r="AO264" i="1"/>
  <c r="AO262" i="1"/>
  <c r="AO261" i="1"/>
  <c r="AS261" i="1" s="1"/>
  <c r="BB261" i="1" s="1"/>
  <c r="AO68" i="1"/>
  <c r="AQ68" i="1" s="1"/>
  <c r="AO65" i="1"/>
  <c r="AQ65" i="1" s="1"/>
  <c r="AO255" i="1"/>
  <c r="AO62" i="1"/>
  <c r="AQ62" i="1" s="1"/>
  <c r="AO154" i="1"/>
  <c r="AR154" i="1" s="1"/>
  <c r="BB154" i="1" s="1"/>
  <c r="AO153" i="1"/>
  <c r="AR153" i="1" s="1"/>
  <c r="BB153" i="1" s="1"/>
  <c r="AO58" i="1"/>
  <c r="AQ58" i="1" s="1"/>
  <c r="AO248" i="1"/>
  <c r="AO244" i="1"/>
  <c r="AO56" i="1"/>
  <c r="AQ56" i="1" s="1"/>
  <c r="AO240" i="1"/>
  <c r="AO236" i="1"/>
  <c r="AO234" i="1"/>
  <c r="AO54" i="1"/>
  <c r="AQ54" i="1" s="1"/>
  <c r="AO53" i="1"/>
  <c r="AQ53" i="1" s="1"/>
  <c r="AO227" i="1"/>
  <c r="AO224" i="1"/>
  <c r="AO49" i="1"/>
  <c r="AQ49" i="1" s="1"/>
  <c r="AO141" i="1"/>
  <c r="AR141" i="1" s="1"/>
  <c r="BB141" i="1" s="1"/>
  <c r="AO48" i="1"/>
  <c r="AQ48" i="1" s="1"/>
  <c r="AO216" i="1"/>
  <c r="AO214" i="1"/>
  <c r="AO42" i="1"/>
  <c r="AQ42" i="1" s="1"/>
  <c r="AO41" i="1"/>
  <c r="AQ41" i="1" s="1"/>
  <c r="AO136" i="1"/>
  <c r="AR136" i="1" s="1"/>
  <c r="BB136" i="1" s="1"/>
  <c r="AO132" i="1"/>
  <c r="AR132" i="1" s="1"/>
  <c r="BB132" i="1" s="1"/>
  <c r="AO207" i="1"/>
  <c r="AO38" i="1"/>
  <c r="AQ38" i="1" s="1"/>
  <c r="AO127" i="1"/>
  <c r="AR127" i="1" s="1"/>
  <c r="BB127" i="1" s="1"/>
  <c r="AO203" i="1"/>
  <c r="AO117" i="1"/>
  <c r="AO27" i="1"/>
  <c r="AQ27" i="1" s="1"/>
  <c r="AO24" i="1"/>
  <c r="AQ24" i="1" s="1"/>
  <c r="AO109" i="1"/>
  <c r="AR109" i="1" s="1"/>
  <c r="BB109" i="1" s="1"/>
  <c r="AO107" i="1"/>
  <c r="AR107" i="1" s="1"/>
  <c r="BB107" i="1" s="1"/>
  <c r="AO20" i="1"/>
  <c r="AQ20" i="1" s="1"/>
  <c r="AO194" i="1"/>
  <c r="AO101" i="1"/>
  <c r="AR101" i="1" s="1"/>
  <c r="BB101" i="1" s="1"/>
  <c r="AO193" i="1"/>
  <c r="AO8" i="1"/>
  <c r="AQ8" i="1" s="1"/>
  <c r="AO6" i="1"/>
  <c r="AQ6" i="1" s="1"/>
  <c r="AO94" i="1"/>
  <c r="AR94" i="1" s="1"/>
  <c r="BB94" i="1" s="1"/>
  <c r="AO91" i="1"/>
  <c r="AR91" i="1" s="1"/>
  <c r="BB91" i="1" s="1"/>
  <c r="AO89" i="1"/>
  <c r="AS201" i="1" l="1"/>
  <c r="AR201" i="1"/>
  <c r="BB201" i="1" s="1"/>
  <c r="AS223" i="1"/>
  <c r="AR223" i="1"/>
  <c r="BB223" i="1" s="1"/>
  <c r="AR135" i="1"/>
  <c r="AS135" i="1"/>
  <c r="AR89" i="1"/>
  <c r="AT89" i="1"/>
  <c r="AS89" i="1"/>
  <c r="AR117" i="1"/>
  <c r="AS117" i="1"/>
  <c r="AZ206" i="1"/>
  <c r="AX206" i="1"/>
  <c r="AY206" i="1"/>
  <c r="BA206" i="1"/>
  <c r="AW206" i="1"/>
  <c r="AV311" i="1"/>
  <c r="AU311" i="1"/>
  <c r="AT311" i="1"/>
  <c r="AS311" i="1"/>
  <c r="AU240" i="1"/>
  <c r="AV240" i="1"/>
  <c r="AT240" i="1"/>
  <c r="AS240" i="1"/>
  <c r="AU255" i="1"/>
  <c r="AT255" i="1"/>
  <c r="AS255" i="1"/>
  <c r="AV255" i="1"/>
  <c r="AT268" i="1"/>
  <c r="AS268" i="1"/>
  <c r="AU268" i="1"/>
  <c r="AV268" i="1"/>
  <c r="AU237" i="1"/>
  <c r="AT237" i="1"/>
  <c r="AS237" i="1"/>
  <c r="AV237" i="1"/>
  <c r="AU256" i="1"/>
  <c r="AV256" i="1"/>
  <c r="AT256" i="1"/>
  <c r="AS256" i="1"/>
  <c r="AT172" i="1"/>
  <c r="AS172" i="1"/>
  <c r="BB172" i="1" s="1"/>
  <c r="AV282" i="1"/>
  <c r="AU282" i="1"/>
  <c r="AT282" i="1"/>
  <c r="AS282" i="1"/>
  <c r="AV294" i="1"/>
  <c r="AU294" i="1"/>
  <c r="AT294" i="1"/>
  <c r="AS294" i="1"/>
  <c r="AT313" i="1"/>
  <c r="AS313" i="1"/>
  <c r="AV313" i="1"/>
  <c r="AU313" i="1"/>
  <c r="AS208" i="1"/>
  <c r="AV208" i="1"/>
  <c r="AT208" i="1"/>
  <c r="AU208" i="1"/>
  <c r="AT229" i="1"/>
  <c r="AS229" i="1"/>
  <c r="AU229" i="1"/>
  <c r="AV229" i="1"/>
  <c r="AT233" i="1"/>
  <c r="AS233" i="1"/>
  <c r="AU233" i="1"/>
  <c r="AV233" i="1"/>
  <c r="AT271" i="1"/>
  <c r="AS271" i="1"/>
  <c r="AV271" i="1"/>
  <c r="AU271" i="1"/>
  <c r="AV221" i="1"/>
  <c r="AU221" i="1"/>
  <c r="AT221" i="1"/>
  <c r="AS221" i="1"/>
  <c r="AV258" i="1"/>
  <c r="AU258" i="1"/>
  <c r="AT258" i="1"/>
  <c r="AS258" i="1"/>
  <c r="AT308" i="1"/>
  <c r="AS308" i="1"/>
  <c r="AV308" i="1"/>
  <c r="AU308" i="1"/>
  <c r="AV267" i="1"/>
  <c r="AU267" i="1"/>
  <c r="AT267" i="1"/>
  <c r="AS267" i="1"/>
  <c r="AU245" i="1"/>
  <c r="AV245" i="1"/>
  <c r="AT245" i="1"/>
  <c r="AS245" i="1"/>
  <c r="AU254" i="1"/>
  <c r="AV254" i="1"/>
  <c r="AT254" i="1"/>
  <c r="AS254" i="1"/>
  <c r="AT295" i="1"/>
  <c r="AS295" i="1"/>
  <c r="AV295" i="1"/>
  <c r="AU295" i="1"/>
  <c r="AT316" i="1"/>
  <c r="AS316" i="1"/>
  <c r="AV316" i="1"/>
  <c r="AU316" i="1"/>
  <c r="AU243" i="1"/>
  <c r="AV243" i="1"/>
  <c r="AT243" i="1"/>
  <c r="AS243" i="1"/>
  <c r="AT283" i="1"/>
  <c r="AS283" i="1"/>
  <c r="AV283" i="1"/>
  <c r="AU283" i="1"/>
  <c r="AT224" i="1"/>
  <c r="AS224" i="1"/>
  <c r="AV224" i="1"/>
  <c r="AU224" i="1"/>
  <c r="AU244" i="1"/>
  <c r="AT244" i="1"/>
  <c r="AS244" i="1"/>
  <c r="AV244" i="1"/>
  <c r="AS198" i="1"/>
  <c r="AT198" i="1"/>
  <c r="AV198" i="1"/>
  <c r="AU198" i="1"/>
  <c r="AU119" i="1"/>
  <c r="AU246" i="1"/>
  <c r="AT246" i="1"/>
  <c r="AS246" i="1"/>
  <c r="AV246" i="1"/>
  <c r="AU259" i="1"/>
  <c r="AT259" i="1"/>
  <c r="AV259" i="1"/>
  <c r="AS259" i="1"/>
  <c r="AS210" i="1"/>
  <c r="AT210" i="1"/>
  <c r="AV210" i="1"/>
  <c r="AU210" i="1"/>
  <c r="AT287" i="1"/>
  <c r="AS287" i="1"/>
  <c r="AV287" i="1"/>
  <c r="AU287" i="1"/>
  <c r="AV200" i="1"/>
  <c r="AU200" i="1"/>
  <c r="AT200" i="1"/>
  <c r="AS200" i="1"/>
  <c r="AU257" i="1"/>
  <c r="AT257" i="1"/>
  <c r="AS257" i="1"/>
  <c r="AV257" i="1"/>
  <c r="AV285" i="1"/>
  <c r="AU285" i="1"/>
  <c r="AT285" i="1"/>
  <c r="AS285" i="1"/>
  <c r="AV238" i="1"/>
  <c r="AU238" i="1"/>
  <c r="AT238" i="1"/>
  <c r="AS238" i="1"/>
  <c r="AV307" i="1"/>
  <c r="AU307" i="1"/>
  <c r="AT307" i="1"/>
  <c r="AS307" i="1"/>
  <c r="AT300" i="1"/>
  <c r="AS300" i="1"/>
  <c r="AV300" i="1"/>
  <c r="AU300" i="1"/>
  <c r="AV236" i="1"/>
  <c r="AU236" i="1"/>
  <c r="AT236" i="1"/>
  <c r="AS236" i="1"/>
  <c r="AS212" i="1"/>
  <c r="AT212" i="1"/>
  <c r="AU212" i="1"/>
  <c r="AV212" i="1"/>
  <c r="AS235" i="1"/>
  <c r="AT235" i="1"/>
  <c r="AR235" i="1"/>
  <c r="AV217" i="1"/>
  <c r="AU217" i="1"/>
  <c r="AT217" i="1"/>
  <c r="AS217" i="1"/>
  <c r="AT310" i="1"/>
  <c r="AS310" i="1"/>
  <c r="AV310" i="1"/>
  <c r="AU310" i="1"/>
  <c r="AS205" i="1"/>
  <c r="AV205" i="1"/>
  <c r="AU205" i="1"/>
  <c r="AT205" i="1"/>
  <c r="AV292" i="1"/>
  <c r="AU292" i="1"/>
  <c r="AT292" i="1"/>
  <c r="AS292" i="1"/>
  <c r="AS213" i="1"/>
  <c r="AV213" i="1"/>
  <c r="AU213" i="1"/>
  <c r="AT213" i="1"/>
  <c r="AV299" i="1"/>
  <c r="AU299" i="1"/>
  <c r="AT299" i="1"/>
  <c r="AS299" i="1"/>
  <c r="AU247" i="1"/>
  <c r="AV247" i="1"/>
  <c r="AT247" i="1"/>
  <c r="AS247" i="1"/>
  <c r="AT306" i="1"/>
  <c r="AS306" i="1"/>
  <c r="AV306" i="1"/>
  <c r="AU306" i="1"/>
  <c r="AV281" i="1"/>
  <c r="AU281" i="1"/>
  <c r="AT281" i="1"/>
  <c r="AS281" i="1"/>
  <c r="AV262" i="1"/>
  <c r="AU262" i="1"/>
  <c r="AT262" i="1"/>
  <c r="AS262" i="1"/>
  <c r="AV195" i="1"/>
  <c r="AS195" i="1"/>
  <c r="AU195" i="1"/>
  <c r="AT195" i="1"/>
  <c r="AS133" i="1"/>
  <c r="AR133" i="1"/>
  <c r="BB133" i="1" s="1"/>
  <c r="AS228" i="1"/>
  <c r="AR228" i="1"/>
  <c r="AV270" i="1"/>
  <c r="AU270" i="1"/>
  <c r="AT270" i="1"/>
  <c r="AS270" i="1"/>
  <c r="AU253" i="1"/>
  <c r="AT253" i="1"/>
  <c r="AS253" i="1"/>
  <c r="AV253" i="1"/>
  <c r="AT273" i="1"/>
  <c r="AS273" i="1"/>
  <c r="AU273" i="1"/>
  <c r="AV273" i="1"/>
  <c r="AU250" i="1"/>
  <c r="AV250" i="1"/>
  <c r="AT250" i="1"/>
  <c r="AS250" i="1"/>
  <c r="AT289" i="1"/>
  <c r="AS289" i="1"/>
  <c r="AV289" i="1"/>
  <c r="AU289" i="1"/>
  <c r="AU276" i="1"/>
  <c r="AT276" i="1"/>
  <c r="BB276" i="1" s="1"/>
  <c r="AV301" i="1"/>
  <c r="AU301" i="1"/>
  <c r="AT301" i="1"/>
  <c r="AS301" i="1"/>
  <c r="AV251" i="1"/>
  <c r="AU251" i="1"/>
  <c r="AT251" i="1"/>
  <c r="AS251" i="1"/>
  <c r="AV309" i="1"/>
  <c r="AU309" i="1"/>
  <c r="AT309" i="1"/>
  <c r="AS309" i="1"/>
  <c r="AU242" i="1"/>
  <c r="AT242" i="1"/>
  <c r="AS242" i="1"/>
  <c r="AV242" i="1"/>
  <c r="AT264" i="1"/>
  <c r="AS264" i="1"/>
  <c r="AU264" i="1"/>
  <c r="AV264" i="1"/>
  <c r="AV272" i="1"/>
  <c r="AU272" i="1"/>
  <c r="AT272" i="1"/>
  <c r="AS272" i="1"/>
  <c r="AT222" i="1"/>
  <c r="AS222" i="1"/>
  <c r="AU222" i="1"/>
  <c r="AV222" i="1"/>
  <c r="AT293" i="1"/>
  <c r="AS293" i="1"/>
  <c r="AV293" i="1"/>
  <c r="AU293" i="1"/>
  <c r="AT290" i="1"/>
  <c r="AS290" i="1"/>
  <c r="AV290" i="1"/>
  <c r="AU290" i="1"/>
  <c r="AT303" i="1"/>
  <c r="AS303" i="1"/>
  <c r="AV303" i="1"/>
  <c r="AU303" i="1"/>
  <c r="AT266" i="1"/>
  <c r="AS266" i="1"/>
  <c r="AV266" i="1"/>
  <c r="AU266" i="1"/>
  <c r="AS227" i="1"/>
  <c r="AR227" i="1"/>
  <c r="AV193" i="1"/>
  <c r="AT193" i="1"/>
  <c r="AS193" i="1"/>
  <c r="AU193" i="1"/>
  <c r="AS214" i="1"/>
  <c r="AU214" i="1"/>
  <c r="AT214" i="1"/>
  <c r="AV214" i="1"/>
  <c r="AV194" i="1"/>
  <c r="AU194" i="1"/>
  <c r="AT194" i="1"/>
  <c r="AS194" i="1"/>
  <c r="AT216" i="1"/>
  <c r="AU216" i="1"/>
  <c r="AS216" i="1"/>
  <c r="AV216" i="1"/>
  <c r="AT234" i="1"/>
  <c r="AV234" i="1"/>
  <c r="AU234" i="1"/>
  <c r="AS234" i="1"/>
  <c r="AV265" i="1"/>
  <c r="AU265" i="1"/>
  <c r="AT265" i="1"/>
  <c r="AS265" i="1"/>
  <c r="AV196" i="1"/>
  <c r="AU196" i="1"/>
  <c r="AT196" i="1"/>
  <c r="AS196" i="1"/>
  <c r="AV209" i="1"/>
  <c r="AU209" i="1"/>
  <c r="AS209" i="1"/>
  <c r="AT209" i="1"/>
  <c r="AV232" i="1"/>
  <c r="AT232" i="1"/>
  <c r="AU232" i="1"/>
  <c r="AS232" i="1"/>
  <c r="AT226" i="1"/>
  <c r="AS226" i="1"/>
  <c r="AU226" i="1"/>
  <c r="AV226" i="1"/>
  <c r="AV279" i="1"/>
  <c r="AU279" i="1"/>
  <c r="AT279" i="1"/>
  <c r="AS279" i="1"/>
  <c r="AV296" i="1"/>
  <c r="AU296" i="1"/>
  <c r="AT296" i="1"/>
  <c r="AS296" i="1"/>
  <c r="AU239" i="1"/>
  <c r="AT239" i="1"/>
  <c r="AS239" i="1"/>
  <c r="AV239" i="1"/>
  <c r="AV288" i="1"/>
  <c r="AU288" i="1"/>
  <c r="AT288" i="1"/>
  <c r="AS288" i="1"/>
  <c r="AV211" i="1"/>
  <c r="AS211" i="1"/>
  <c r="AU211" i="1"/>
  <c r="AT211" i="1"/>
  <c r="AV304" i="1"/>
  <c r="AU304" i="1"/>
  <c r="AT304" i="1"/>
  <c r="AS304" i="1"/>
  <c r="AR143" i="1"/>
  <c r="BB143" i="1" s="1"/>
  <c r="AQ83" i="1"/>
  <c r="AR175" i="1"/>
  <c r="BB175" i="1" s="1"/>
  <c r="AQ67" i="1"/>
  <c r="AQ21" i="1"/>
  <c r="AQ2" i="1"/>
  <c r="AQ95" i="1"/>
  <c r="AR95" i="1"/>
  <c r="BB95" i="1" s="1"/>
  <c r="BB135" i="1" l="1"/>
  <c r="BB294" i="1"/>
  <c r="BB259" i="1"/>
  <c r="BB119" i="1"/>
  <c r="BB311" i="1"/>
  <c r="BB301" i="1"/>
  <c r="BB236" i="1"/>
  <c r="BB307" i="1"/>
  <c r="BB285" i="1"/>
  <c r="BB309" i="1"/>
  <c r="BB226" i="1"/>
  <c r="BB289" i="1"/>
  <c r="BB273" i="1"/>
  <c r="BB195" i="1"/>
  <c r="BB212" i="1"/>
  <c r="BB210" i="1"/>
  <c r="BB244" i="1"/>
  <c r="BB272" i="1"/>
  <c r="BB251" i="1"/>
  <c r="BB306" i="1"/>
  <c r="BB310" i="1"/>
  <c r="BB211" i="1"/>
  <c r="BB227" i="1"/>
  <c r="BB205" i="1"/>
  <c r="BB316" i="1"/>
  <c r="BB271" i="1"/>
  <c r="BB313" i="1"/>
  <c r="BB279" i="1"/>
  <c r="BB232" i="1"/>
  <c r="BB196" i="1"/>
  <c r="BB234" i="1"/>
  <c r="BB194" i="1"/>
  <c r="BB266" i="1"/>
  <c r="BB290" i="1"/>
  <c r="BB222" i="1"/>
  <c r="BB264" i="1"/>
  <c r="BB250" i="1"/>
  <c r="BB228" i="1"/>
  <c r="BB262" i="1"/>
  <c r="BB299" i="1"/>
  <c r="BB292" i="1"/>
  <c r="BB235" i="1"/>
  <c r="BB237" i="1"/>
  <c r="BB255" i="1"/>
  <c r="BB214" i="1"/>
  <c r="BB213" i="1"/>
  <c r="BB283" i="1"/>
  <c r="BB229" i="1"/>
  <c r="BB239" i="1"/>
  <c r="BB193" i="1"/>
  <c r="BB253" i="1"/>
  <c r="BB287" i="1"/>
  <c r="BB243" i="1"/>
  <c r="BB245" i="1"/>
  <c r="BB221" i="1"/>
  <c r="BB117" i="1"/>
  <c r="BB242" i="1"/>
  <c r="BB238" i="1"/>
  <c r="BB200" i="1"/>
  <c r="BB224" i="1"/>
  <c r="BB295" i="1"/>
  <c r="BB308" i="1"/>
  <c r="BB233" i="1"/>
  <c r="BB256" i="1"/>
  <c r="BB240" i="1"/>
  <c r="BB206" i="1"/>
  <c r="BB304" i="1"/>
  <c r="BB288" i="1"/>
  <c r="BB296" i="1"/>
  <c r="BB265" i="1"/>
  <c r="BB303" i="1"/>
  <c r="BB293" i="1"/>
  <c r="BB270" i="1"/>
  <c r="BB281" i="1"/>
  <c r="BB247" i="1"/>
  <c r="BB217" i="1"/>
  <c r="BB257" i="1"/>
  <c r="BB246" i="1"/>
  <c r="BB198" i="1"/>
  <c r="BB208" i="1"/>
  <c r="BB89" i="1"/>
  <c r="BB209" i="1"/>
  <c r="BB216" i="1"/>
  <c r="BB300" i="1"/>
  <c r="BB254" i="1"/>
  <c r="BB267" i="1"/>
  <c r="BB258" i="1"/>
  <c r="BB282" i="1"/>
  <c r="BB268" i="1"/>
</calcChain>
</file>

<file path=xl/sharedStrings.xml><?xml version="1.0" encoding="utf-8"?>
<sst xmlns="http://schemas.openxmlformats.org/spreadsheetml/2006/main" count="4360" uniqueCount="1609">
  <si>
    <t>PROPOSAL</t>
  </si>
  <si>
    <t>ADDRESS</t>
  </si>
  <si>
    <t>PostCode</t>
  </si>
  <si>
    <t>1 BED EXISTING</t>
  </si>
  <si>
    <t>2 BED EXISTING</t>
  </si>
  <si>
    <t>3 BED EXISTING</t>
  </si>
  <si>
    <t>4 BED EXISTING</t>
  </si>
  <si>
    <t>5 BED EXISTING</t>
  </si>
  <si>
    <t>6 BED EXISTING</t>
  </si>
  <si>
    <t>7 BED EXISTING</t>
  </si>
  <si>
    <t>9 BED EXISTING</t>
  </si>
  <si>
    <t>Affordable</t>
  </si>
  <si>
    <t>1 BED PROPOSED</t>
  </si>
  <si>
    <t>2 BED PROPOSED</t>
  </si>
  <si>
    <t>3 BED PROPOSED</t>
  </si>
  <si>
    <t>4 BED PROPOSED</t>
  </si>
  <si>
    <t>5 BED PROPOSED</t>
  </si>
  <si>
    <t>6 BED PROPOSED</t>
  </si>
  <si>
    <t>7 BED PROPOSED</t>
  </si>
  <si>
    <t>AFFORDABLE_HOUSING</t>
  </si>
  <si>
    <t>NEW</t>
  </si>
  <si>
    <t>07/3348/FUL</t>
  </si>
  <si>
    <t>Demolition of existing house and outbuildings, construction of 3 houses.</t>
  </si>
  <si>
    <t>289 Petersham Road_x000D_Richmond_x000D_Surrey_x000D_TW10 7DA_x000D_</t>
  </si>
  <si>
    <t>10/0312/FUL</t>
  </si>
  <si>
    <t>Construction of three bedroom house and associated landscaping</t>
  </si>
  <si>
    <t>72 Stanley Road_x000D_Teddington_x000D__x000D_</t>
  </si>
  <si>
    <t>11/1443/FUL</t>
  </si>
  <si>
    <t>Demolition of existing station building and access gantries to the platforms and a phased redevelopment to provide;_x000D_1. Removal of existing footbridge structures, adjustment of existing platform canopies and rebuilding of a section of the London Road wall.</t>
  </si>
  <si>
    <t>Twickenham Railway Station_x000D_London Road_x000D_Twickenham_x000D_TW1 1BD_x000D_</t>
  </si>
  <si>
    <t>11/2882/FUL</t>
  </si>
  <si>
    <t>CHU</t>
  </si>
  <si>
    <t>Two-storey infill to the rear of the property and the partial change of use of the front ground floor from vacant offices (Use Class B1) to a single dwelling (Use Class C3).</t>
  </si>
  <si>
    <t>35 Staines Road_x000D_Twickenham_x000D_TW2 5BG_x000D_</t>
  </si>
  <si>
    <t>13/1327/FUL</t>
  </si>
  <si>
    <t>Reversion of Doughty House and Doughty Cottage, change of use from D1 gallery to a single family dwelling. New conservatory with basement below; underground car parking beneath the upper garden and linked to Doughty House; part re-construction of rear ele</t>
  </si>
  <si>
    <t>Doughty House And Doughty Cottage_x000D_142 - 142A Richmond Hill_x000D_Richmond_x000D__x000D_</t>
  </si>
  <si>
    <t>13/2163/FUL</t>
  </si>
  <si>
    <t>CON</t>
  </si>
  <si>
    <t>The reinstatement of 239 and 239a Kingston Road, both maisonnettes comprising a semi detached house the other half of which (241) is still a complete family residence, back into a single family residence. .</t>
  </si>
  <si>
    <t>239 Kingston Road_x000D_Teddington_x000D_TW11 9JJ_x000D_</t>
  </si>
  <si>
    <t>TW11 9JJ</t>
  </si>
  <si>
    <t>TW2 6SR</t>
  </si>
  <si>
    <t>EXT</t>
  </si>
  <si>
    <t>14/2118/FUL</t>
  </si>
  <si>
    <t>Conversion of existing block of 3 flats, back into onedwellinghouse. Demolition of existing part 2 storey, part single storey rear addition and erection of part 2 storey and part single storey rear extension. Erection of basement extension, part under exi</t>
  </si>
  <si>
    <t>14 Sheen Gate Gardens_x000D_East Sheen_x000D_London_x000D__x000D_</t>
  </si>
  <si>
    <t>14/2257/FUL</t>
  </si>
  <si>
    <t>MIX</t>
  </si>
  <si>
    <t>Partial rebuild and refurbishment of existing building and erection of two-storey side / rear extension with 3No. rear dormers to facilitate the formation of a mixed use building comprising a ground floor retail shop unit (A1 Use Class) and 4 No. 1-bedroo</t>
  </si>
  <si>
    <t>310 Nelson Road_x000D_Twickenham_x000D_TW2 7AJ_x000D_</t>
  </si>
  <si>
    <t>14/2797/P3JPA</t>
  </si>
  <si>
    <t>Proposed change of use of part of an existing two storey office block (B1a Use Class) to Residential (C3 Use Class) creating 6 No.flats (comprising 1 x 1-bed unit and 5 x 2-bed units).</t>
  </si>
  <si>
    <t>Crane Mews_x000D_32 Gould Road_x000D_Twickenham_x000D__x000D_</t>
  </si>
  <si>
    <t>TW2 6RS</t>
  </si>
  <si>
    <t>14/3011/FUL</t>
  </si>
  <si>
    <t>Refurbishment and remodelling of the existing dry cleaners (Use Class A1: Shops)  and workshop (Use Class B1c: light industrial) including infill extensions and alterations, conversion of seven x one self-contained flats to six residential flats (comprisi</t>
  </si>
  <si>
    <t>2 Broad Street_x000D_Teddington_x000D_TW11 8RF_x000D_</t>
  </si>
  <si>
    <t>14/3780/FUL</t>
  </si>
  <si>
    <t>The conversion and restoration of the Old School building to form 5 no. residential apartments, and 90 square metres of B1a Office space, and the erection of 3no. terraced townhouses with basement accommodation at the rear, with car parking, landscaping,</t>
  </si>
  <si>
    <t>Richmond Film Services_x000D_Park Lane_x000D_Richmond_x000D_TW9 2RA_x000D_</t>
  </si>
  <si>
    <t>14/3983/FUL</t>
  </si>
  <si>
    <t>Demolition of existing buildings and erection of 2 pairs of two storey four bedroom townhouses, with basements, roofspace accomodation, associated landscaping and 4 car parking spaces.</t>
  </si>
  <si>
    <t>Kings Road Garage_x000D_Kings Road_x000D_Richmond_x000D_TW10 6EG_x000D_</t>
  </si>
  <si>
    <t>14/4464/P3JPA</t>
  </si>
  <si>
    <t>Change of use of part of the ground floor and first floor offices (B1a) to residential (C3) comprising 6 one bed  residential units.</t>
  </si>
  <si>
    <t>111 Heath Road_x000D_Twickenham_x000D_TW1 4AH_x000D_</t>
  </si>
  <si>
    <t>TW1 4AH</t>
  </si>
  <si>
    <t>TW1 4BH</t>
  </si>
  <si>
    <t>14/4721/FUL</t>
  </si>
  <si>
    <t>Demolition of the existing buildings and erection of a mixed-use residential-led redevelopment of two storeys over basement with roof accommodation and balconies and roof terraces comprising eight apartments; 401m2 of B1(a) floorspace; twelve car parking</t>
  </si>
  <si>
    <t>97A White Hart Lane_x000D_Barnes_x000D_London_x000D_SW13 0JL_x000D_</t>
  </si>
  <si>
    <t>SW13 0JL</t>
  </si>
  <si>
    <t>14/4793/FUL</t>
  </si>
  <si>
    <t>Refurbishment of existing shop and refurbishment and part extension of existing 1st floor flat to provide 2 new 1 and 2 bed flats. Refurbishment and part demolition of existing 2 storey barn to provide new 2 bed 2 storey dwelling.</t>
  </si>
  <si>
    <t>42 Sheen Lane_x000D_East Sheen_x000D_London_x000D_SW14 8LP_x000D_</t>
  </si>
  <si>
    <t>14/4839/FUL</t>
  </si>
  <si>
    <t>Demolition of existing house and construction of a new 3 bedroom house.</t>
  </si>
  <si>
    <t>The Cottage_x000D_Eel Pie Island_x000D_Twickenham_x000D_TW1 3DY_x000D_</t>
  </si>
  <si>
    <t>14/5284/FUL</t>
  </si>
  <si>
    <t>The reversion of a Building of Townscape Merit from two self-contained flats (1x1 and 1x3 beds) to a single-family dwelling (Use Class C3: Dwelling Houses) including a rear side infill extension with associated works.</t>
  </si>
  <si>
    <t>46 Halford Road_x000D_Richmond_x000D__x000D_</t>
  </si>
  <si>
    <t>TW10 6AP</t>
  </si>
  <si>
    <t>14/5306/FUL</t>
  </si>
  <si>
    <t>Change of use from B1 to residential (Number 21) and demolition of existing 2-storey dwelling (21A) with erection of back extension with basement</t>
  </si>
  <si>
    <t>21 - 21A St Johns Road_x000D_Richmond_x000D__x000D_</t>
  </si>
  <si>
    <t>14/5364/P3JPA</t>
  </si>
  <si>
    <t>22 Linden Road_x000D_Hampton_x000D_TW12 2JB_x000D_</t>
  </si>
  <si>
    <t>TW12 2JB</t>
  </si>
  <si>
    <t>15/0160/FUL</t>
  </si>
  <si>
    <t>Demolition of existing dwelling and erection of two buildings containing  1No. two bedroom house, 1No. two bedroom apartment and 1No. three bedroom apartment.</t>
  </si>
  <si>
    <t>1 Latimer Road_x000D_Teddington_x000D_TW11 8QA_x000D_</t>
  </si>
  <si>
    <t>15/0421/FUL</t>
  </si>
  <si>
    <t>Reversion of a Building of Townscape Merit from four self-contained flats (3x2 and 1x1 beds) to a single-family dwelling (Use Class C3: Dwelling Houses) with lower and upper ground rear extensions, external alterations to dormers, fenestration, and stairs</t>
  </si>
  <si>
    <t>17 Kings Road_x000D_Richmond_x000D__x000D_</t>
  </si>
  <si>
    <t>15/1440/FUL</t>
  </si>
  <si>
    <t>Demolition of existing single storey structure to allow the construction of a two-storey (1x1bed 2person) dwellinghouse including a study room; provision of one off-street parking space; hard and soft landscaping; boundary treatment and associated refuse/</t>
  </si>
  <si>
    <t>6 Second Cross Road_x000D_Twickenham_x000D_TW2 5RF_x000D_</t>
  </si>
  <si>
    <t>TW2 5RF</t>
  </si>
  <si>
    <t>15/1486/FUL</t>
  </si>
  <si>
    <t>Demolition of existing dwelling and erection of 2 No.4 bed semi-detached dwellings with associated parking and landscaping.</t>
  </si>
  <si>
    <t>8 Heathside_x000D_Whitton_x000D_Hounslow_x000D_TW4 5NN_x000D_</t>
  </si>
  <si>
    <t>15/1638/FUL</t>
  </si>
  <si>
    <t>Demolition of the existing dwelling and erection of 2 No.semi-detached dwellings and associated hard and soft landscaping.</t>
  </si>
  <si>
    <t>53 Cole Park Road_x000D_Twickenham_x000D_TW1 1HT_x000D_</t>
  </si>
  <si>
    <t>TW1 1HT</t>
  </si>
  <si>
    <t>15/2204/FUL</t>
  </si>
  <si>
    <t>Change of use from a private garage and store to a 2 bedroom house with associated single storey extensions; retention of existing photovoltaic arrays; associated cycle and refuse/recycle stores; hard and soft landscaping and installation of car turntable</t>
  </si>
  <si>
    <t>TW2 7EE</t>
  </si>
  <si>
    <t>15/2440/VRC</t>
  </si>
  <si>
    <t>Variation of condition 2 of application 08/4792/FUL to allow for amendments including:_x000D_- Introduction of clerestory windows to eastern elevation of office building;_x000D_- 2 Conservation rooflights added to front (western) elevation of residential building;_x000D_-</t>
  </si>
  <si>
    <t>11 Sandycombe Road_x000D_Richmond_x000D_TW9 2EP_x000D_</t>
  </si>
  <si>
    <t>15/2452/FUL</t>
  </si>
  <si>
    <t>Refurbishment and Extension of existing dwelling - No 79 Richmond Road; Demolition of existing shop and associated office, storage - No 77 Richmond Road; Erection of new single storey B1/D1 employment unit; Erection of new detached 3 Bed Family Unit.</t>
  </si>
  <si>
    <t>77 - 79 Richmond Road_x000D_Twickenham_x000D__x000D_</t>
  </si>
  <si>
    <t>15/2854/FUL</t>
  </si>
  <si>
    <t>Demolition of a row of 18 garages; Proposed to construct two two-bedroom Wheelchair Bungalows; Provision of two car parking spaces.</t>
  </si>
  <si>
    <t>Garages At_x000D_Riverside Drive_x000D_Ham_x000D__x000D_</t>
  </si>
  <si>
    <t>15/2855/FUL</t>
  </si>
  <si>
    <t>Demolition of 20 garages in two rows; Construction of two three-bedroom houses</t>
  </si>
  <si>
    <t>Garages At_x000D_Maguire Drive_x000D_Ham_x000D__x000D_</t>
  </si>
  <si>
    <t>Y</t>
  </si>
  <si>
    <t>15/2857/FUL</t>
  </si>
  <si>
    <t>Removal of 26 garages; Creation of 3 two storey three-bedroom houses. Provision of 11 parking spaces in a shared surface courtyard</t>
  </si>
  <si>
    <t>Garages At_x000D_Clifford Road_x000D_Petersham_x000D__x000D_</t>
  </si>
  <si>
    <t>17A Tower Road_x000D_Twickenham_x000D_TW1 4PD</t>
  </si>
  <si>
    <t>15/3072/FUL</t>
  </si>
  <si>
    <t>Conversion, extension and alteration of the existing church building to provide for 6 x 2 bedroom flats over four levels together with 6 off-street car parking spaces, motorcycle parking, garden amenity areas and refuse, recycling and cycle parking areas.</t>
  </si>
  <si>
    <t>Christ Church_x000D_Station Road_x000D_Teddington_x000D__x000D_</t>
  </si>
  <si>
    <t>TW11</t>
  </si>
  <si>
    <t>15/3183/FUL</t>
  </si>
  <si>
    <t>Conversion of existing lower ground floor property and existing upper first floor property (5a and 5b) into one dwelling space and single storey rear extension</t>
  </si>
  <si>
    <t>5A And 5B Upper Lodge Mews_x000D_Bushy Park_x000D_Hampton Hill_x000D__x000D_</t>
  </si>
  <si>
    <t>15/3296/FUL</t>
  </si>
  <si>
    <t>SITE A:-Removal of 40 garages_x000D_Create a short terrace of high quality two storey houses consisting of three x  three-bedroom houses and two x  four-bedroom houses. Provision of 16 parking spaces in a shared surface courtyard</t>
  </si>
  <si>
    <t>Garages Site A_x000D_Bucklands Road_x000D_Teddington_x000D__x000D_</t>
  </si>
  <si>
    <t>15/3297/FUL</t>
  </si>
  <si>
    <t>Garage Site B_x000D_Bucklands Road_x000D_Teddington_x000D__x000D_</t>
  </si>
  <si>
    <t>15/3518/FUL</t>
  </si>
  <si>
    <t>Erection of a pair of semi-detached dwellings with associated access, parking and private amenity space following the demolition of the existing building comprising 2No. maisonettes and associated outbuildings.</t>
  </si>
  <si>
    <t>58 Denton Road_x000D_Twickenham_x000D_TW1 2HQ_x000D_</t>
  </si>
  <si>
    <t>TW1 2HQ</t>
  </si>
  <si>
    <t>-</t>
  </si>
  <si>
    <t>15/4230/FUL</t>
  </si>
  <si>
    <t>Extension to existing Bungalow to convert into 1No. Studio Flat &amp; 1No. 1 Bedroom Flat.</t>
  </si>
  <si>
    <t>The Bungalow_x000D_Beresford Court_x000D_Park Road_x000D_Twickenham_x000D_TW1 2PU_x000D_</t>
  </si>
  <si>
    <t>15/4281/GPD15</t>
  </si>
  <si>
    <t>Change of use of office building (B1) to 4 bed family dwelling (C3).</t>
  </si>
  <si>
    <t>31 Wick Road_x000D_Teddington_x000D_TW11 9DN_x000D_</t>
  </si>
  <si>
    <t>TW11 9DN</t>
  </si>
  <si>
    <t>15/4581/FUL</t>
  </si>
  <si>
    <t>Demolition of all site buildings and redevelopment of the site for a mixed use development comprising a new car showroom with associated workshops (sui generis), office accommodation (Use Class B1a) and six three-bedrooom residential dwellings (Use Class</t>
  </si>
  <si>
    <t>45 - 49 Station Road_x000D_Hampton_x000D_TW12 2BT_x000D_</t>
  </si>
  <si>
    <t>TW12 2BT</t>
  </si>
  <si>
    <t>15/4586/FUL</t>
  </si>
  <si>
    <t>Erection of a two-storey replacement dwellinghouse with attic space.</t>
  </si>
  <si>
    <t>257 Waldegrave Road_x000D_Twickenham_x000D_TW1 4SY_x000D_</t>
  </si>
  <si>
    <t>TW1 4SY</t>
  </si>
  <si>
    <t>15/4835/FUL</t>
  </si>
  <si>
    <t>Erection of a three bedroom chalet bungalow on land to the rear of 9 Gloucester Road.</t>
  </si>
  <si>
    <t>9 Gloucester Road_x000D_Teddington_x000D__x000D_</t>
  </si>
  <si>
    <t>15/5216/FUL</t>
  </si>
  <si>
    <t>Redevelopment of the site to provide a care home, 4 supported living units and 15 affordable housing units, with associated onsite parking and external works. (This scheme is linked to application 15/5217/FUL - whereby the existing care home at Silver Bir</t>
  </si>
  <si>
    <t>The Avenue Centre_x000D_1 Normansfield Avenue_x000D_Hampton Wick_x000D_Teddington_x000D_TW11 9RP_x000D_</t>
  </si>
  <si>
    <t>15/5217/NMA1</t>
  </si>
  <si>
    <t>Non-material amendment to condition U10926 (NS11 - Building Regulations) of planning permission 15/5217/FUL to allow for change in wording of condition to state:  'Prior to the commencement of works above slab level, a scheme shall be submitted to and app</t>
  </si>
  <si>
    <t>Silver Birches_x000D_2 - 6 Marchmont Road_x000D_Richmond_x000D_TW10 6HH_x000D_</t>
  </si>
  <si>
    <t>15/5351/FUL</t>
  </si>
  <si>
    <t>Erection of a pair of two-bedroom, semi-detached dwellings with associated access, car turntable, parking and amenity space following the demolition of existing dwelling.</t>
  </si>
  <si>
    <t>11 Fifth Cross Road_x000D_Twickenham_x000D__x000D_</t>
  </si>
  <si>
    <t>15/5369/FUL</t>
  </si>
  <si>
    <t>Demolition of existing bungalow and replacement dwelling house (Class C3) comprising ground and lower ground floor.</t>
  </si>
  <si>
    <t>65 Wensleydale Road_x000D_Hampton_x000D_TW12 2LP_x000D_</t>
  </si>
  <si>
    <t>16/0058/FUL</t>
  </si>
  <si>
    <t>Change of use of 2nd floor and 3rd floor level from ancillary retail to nine 1 bedroom flats (C3 use) with external alterations and enclosure of walkway at 1st floor, new residential access, bin store, bicycle storage, replacement of plant, new stairs to</t>
  </si>
  <si>
    <t>29 George Street_x000D_Richmond_x000D_TW9 1HY_x000D_</t>
  </si>
  <si>
    <t>16/0234/FUL</t>
  </si>
  <si>
    <t>Demolition of existing garage and construction of a two storey terraced house with associated landscaping, cycle store, rear car parking and access thereto.</t>
  </si>
  <si>
    <t>31 Poulett Gardens_x000D_Twickenham_x000D_TW1 4QS_x000D_</t>
  </si>
  <si>
    <t>TW1 4QS</t>
  </si>
  <si>
    <t>16/0432/FUL</t>
  </si>
  <si>
    <t>Demolition of existing building and erection of three storey building plus basement to provide B1 use at basement, ground floor and first floor, and one 2 bedroom apartment above at second floor level.</t>
  </si>
  <si>
    <t>48 Glentham Road_x000D_Barnes_x000D_London_x000D_SW13 9JJ</t>
  </si>
  <si>
    <t>16/0510/FUL</t>
  </si>
  <si>
    <t>Alterations including construction of a new rear ground floor extension and change of use to commercial space and two 2-bedroom self-contained flats.</t>
  </si>
  <si>
    <t>Shanklin House_x000D_70 Sheen Road_x000D_Richmond_x000D_TW9 1UF_x000D_</t>
  </si>
  <si>
    <t>TW9 1UF</t>
  </si>
  <si>
    <t>16/0606/FUL</t>
  </si>
  <si>
    <t>Retention of former police station building with partial demolition of the rear wings of the police station and demolition of the rear garages and the construction of 28 residential units (4 x 1 bedroom, 12 x 2 bedroom, 10 x 3 bedroom and 2 x 4 bedroom) a</t>
  </si>
  <si>
    <t>Police Station_x000D_60 - 68 Station Road_x000D_Hampton_x000D__x000D_</t>
  </si>
  <si>
    <t>TW12 2AX</t>
  </si>
  <si>
    <t>16/0647/FUL</t>
  </si>
  <si>
    <t>Demolition of the existing garages and redevelopment of the site with the erection of two residential houses with associated landscaping.</t>
  </si>
  <si>
    <t>Garages Rear Of 8_x000D_Atbara Road_x000D_Teddington_x000D__x000D_</t>
  </si>
  <si>
    <t>16/0680/FUL</t>
  </si>
  <si>
    <t>Part demolition of single dwelling house and formation of two semi-detached houses.</t>
  </si>
  <si>
    <t>2 Firs Avenue_x000D_East Sheen_x000D_London_x000D_SW14 7NZ_x000D_</t>
  </si>
  <si>
    <t>SW14 8AD</t>
  </si>
  <si>
    <t>16/1145/FUL</t>
  </si>
  <si>
    <t>Conversion of part lower ground floor to form 1 x 1 bed self contained flat. New external staircase to match existing</t>
  </si>
  <si>
    <t>19 - 21 Lower Teddington Road_x000D_Hampton Wick_x000D__x000D_</t>
  </si>
  <si>
    <t>KT1 4EU</t>
  </si>
  <si>
    <t>16/1293/FUL</t>
  </si>
  <si>
    <t>Creation of an additional floor to create 4 'car free' residential units (2 No.2 bed and 2 No.1 bed flats) and incorporate external extensions and alterations to fenestration of the building.  Provision of 6 cycle parking spaces, refuse storage for commer</t>
  </si>
  <si>
    <t>16/1344/FUL</t>
  </si>
  <si>
    <t>Conversion works to lower ground floor to provide 1No 1-bedroom flat and basement storage for use ancillary to upper ground floor minicab offices.  Conversion of first floor to 2No. 1-bedroom flats (including conversion of part upper ground floor to provi</t>
  </si>
  <si>
    <t>208 - 210 Amyand Park Road_x000D_Twickenham_x000D_TW1 3HY_x000D_</t>
  </si>
  <si>
    <t>TW1 3HY</t>
  </si>
  <si>
    <t>16/1373/FUL</t>
  </si>
  <si>
    <t>Alterations and refurbishment to provide a single family dwelling house.</t>
  </si>
  <si>
    <t>TW9 1PX</t>
  </si>
  <si>
    <t>16/1729/FUL</t>
  </si>
  <si>
    <t>Refurbishment of all existing buildings on the site, including improvements to existing shop fronts, and a first floor extension, to provide a mixed use scheme comprising three retail units and four residential dwellings, incorporating off-street parking,</t>
  </si>
  <si>
    <t>67 - 71 Station Road_x000D_Hampton_x000D_TW12 2BT_x000D_</t>
  </si>
  <si>
    <t>16/1882/FUL</t>
  </si>
  <si>
    <t>Demolition of existing single dwelling and erection of a new single dwelling.</t>
  </si>
  <si>
    <t>9 Charlotte Road_x000D_Barnes_x000D_London_x000D_SW13 9QJ_x000D_</t>
  </si>
  <si>
    <t>SW13 9QJ</t>
  </si>
  <si>
    <t>16/1903/FUL</t>
  </si>
  <si>
    <t>Change of use from office (B1) to residential (C3), demolition and rebuild of the existing single storey rear building, basement extension to Grade II listed building in the Kew Green Conservation Area.</t>
  </si>
  <si>
    <t>63 Kew Green_x000D_Kew_x000D__x000D_</t>
  </si>
  <si>
    <t>16/1935/GPD15</t>
  </si>
  <si>
    <t>Change of use of ground, first and second floors from B1 (a) offices - C3 residential (21 flats together with 21 off-street parking spaces, 21 cycle spaces and two bin and recycling store area)</t>
  </si>
  <si>
    <t>Garrick House_x000D_161 - 163 High Street_x000D_Hampton Hill_x000D_Hampton_x000D_TW12 1NL_x000D_</t>
  </si>
  <si>
    <t>TW12 1NL</t>
  </si>
  <si>
    <t>16/2042/FUL</t>
  </si>
  <si>
    <t>Part two storey part single storey rear extension; insertion of 3 rooflights to side roofslope and alterations to fenestration arrangement on all elevations to facilitate the conversion of existing dwellinghouse into four self-contained flats (2x1 bed, 2x</t>
  </si>
  <si>
    <t>216 London Road_x000D_Twickenham_x000D_TW1 1EU</t>
  </si>
  <si>
    <t>TW1 1EU</t>
  </si>
  <si>
    <t>16/2158/FUL</t>
  </si>
  <si>
    <t>Reversion of 2 No. dwellinghouses into a single family dwellinghouse.</t>
  </si>
  <si>
    <t>Ormonde Lodge_x000D_2A St Peters Road_x000D_Twickenham_x000D_TW1 1QX_x000D_</t>
  </si>
  <si>
    <t>16/2288/FUL</t>
  </si>
  <si>
    <t>Extending the existing retail and residential accommodation to provide a mixed use scheme comprising of one retail unit and 7 new residential dwellings and retention of 3 currently existing residential dwellings, incorporating cycle storage, amenity space</t>
  </si>
  <si>
    <t>179 - 181 High Street_x000D_Hampton Hill_x000D__x000D_</t>
  </si>
  <si>
    <t>TW12</t>
  </si>
  <si>
    <t>16/2306/FUL</t>
  </si>
  <si>
    <t>Conversion of the building into one family house, plus an additional apartment at basement level to the front.</t>
  </si>
  <si>
    <t>112 Richmond Hill_x000D_Richmond_x000D__x000D_</t>
  </si>
  <si>
    <t>16/2348/FUL</t>
  </si>
  <si>
    <t>Demolition of existing sheds and construction of a single storey one bedroom dwelling.</t>
  </si>
  <si>
    <t>38A Pagoda Avenue_x000D_Richmond_x000D_TW9 2HF</t>
  </si>
  <si>
    <t>16/2502/FUL</t>
  </si>
  <si>
    <t>Demolition of existing dwelling and erection of a new six bedroom house with basement.</t>
  </si>
  <si>
    <t>43 Strawberry Vale_x000D_Twickenham_x000D_TW1 4RX</t>
  </si>
  <si>
    <t>16/2637/FUL</t>
  </si>
  <si>
    <t>Demolition of the existing building and the erection of new two-storey house, with a basement and front and rear light wells and a rear dormer._x000D__x000D_</t>
  </si>
  <si>
    <t>9 Belgrave Road_x000D_Barnes_x000D_London_x000D_SW13 9NS_x000D_</t>
  </si>
  <si>
    <t>16/2647/FUL</t>
  </si>
  <si>
    <t>Demolition of the existing office (B1a) building (395 sq.m) and the erection a part five / part six-storey mixed-use building comprisnig a ground floor office / commercial unit (300 sq.m) and 22 (11 x 1 and 11 x 2 bed) affordable 'shared ownership' apartm</t>
  </si>
  <si>
    <t>2 High Street_x000D_Teddington_x000D_TW11 8EW_x000D_</t>
  </si>
  <si>
    <t>TW11 8EW</t>
  </si>
  <si>
    <t>16/2704/FUL</t>
  </si>
  <si>
    <t>Demolition of existing dwelling and erection of a replacement dwelling.</t>
  </si>
  <si>
    <t>3 Berwyn Road_x000D_Richmond_x000D_TW10 5BP_x000D_</t>
  </si>
  <si>
    <t>TW10 5BP</t>
  </si>
  <si>
    <t>16/2709/FUL</t>
  </si>
  <si>
    <t>Demolition of the existing building and the erection of two new two-storey houses, one with a basement and side lightwells and the other with a basement with rear lightwell and rear dormer.</t>
  </si>
  <si>
    <t>29 Howsman Road_x000D_Barnes_x000D_London_x000D_SW13 9AW_x000D_</t>
  </si>
  <si>
    <t>SW13 9AW</t>
  </si>
  <si>
    <t>16/2736/FUL</t>
  </si>
  <si>
    <t>Demolition of existing detached dwelling and construction of new 4 bed house.</t>
  </si>
  <si>
    <t>Downlands_x000D_Petersham Close_x000D_Petersham_x000D_Richmond_x000D_TW10 7DZ_x000D_</t>
  </si>
  <si>
    <t>TW10 7DZ</t>
  </si>
  <si>
    <t>16/2975/GPD15</t>
  </si>
  <si>
    <t>Change of use of vacant offices (B1) to residential use (C3) comprising 2 bed flat on 1st floor and 1 bed flat on second floor.</t>
  </si>
  <si>
    <t>First And Second Floors_x000D_46 King Street_x000D_Twickenham_x000D_TW1 3SH_x000D_</t>
  </si>
  <si>
    <t>TW1 3SH</t>
  </si>
  <si>
    <t>123 High Street_x000D_Whitton_x000D_Twickenham_x000D_TW2 7LQ_x000D_</t>
  </si>
  <si>
    <t>16/3210/GPD15</t>
  </si>
  <si>
    <t>Change of use from B1 (Office) to C3 (Residential) comprising 4 x 1 bedroom flats.</t>
  </si>
  <si>
    <t>16/3247/FUL</t>
  </si>
  <si>
    <t>Demolition of the existing detached bungalow, garage, shed and greenhouse to allow for construction of 2x two storey 4 bedroom semi-detached houses with accommodation in the roof with associated boundary treatment, cycle and car parking and hard and soft</t>
  </si>
  <si>
    <t>738 Hanworth Road_x000D_Whitton_x000D_Hounslow_x000D_TW4 5NT_x000D_</t>
  </si>
  <si>
    <t>TW4 5NT</t>
  </si>
  <si>
    <t>16/3293/RES</t>
  </si>
  <si>
    <t>Detailed Reserved Matters application including Appearance, Landscaping, Layout and Scale for the Schools Development Zone pursuant to Conditions U08026 and U08031 of Outline Planning Permission 15/3038/OUT dated 16.08.16 (Outline application for the demo</t>
  </si>
  <si>
    <t>Land At Junction Of A316 And Langhorn Drive And Richmond College Site (Including Craneford Way East Playing Fields And Marsh Farm Lane)_x000D_Egerton Road_x000D_Twickenham</t>
  </si>
  <si>
    <t>16/3450/FUL</t>
  </si>
  <si>
    <t>Demolition of existing buildings and removal of advertising hoardings. Resiting of existing recycling bins. Erection of a part 3 storey part 4 storey building with commercial use (Flexible Use Class A1, A2 and/or B1a) on the ground floor with 9 flats (4 x</t>
  </si>
  <si>
    <t>Land At_x000D_149 - 151 Heath Road_x000D_Twickenham_x000D__x000D_</t>
  </si>
  <si>
    <t>16/3485/FUL</t>
  </si>
  <si>
    <t>Conversion of number 11 Upper Lodge Mews and number 12 Upper Lodge Mews into one dwelling house with internal refurbishment.</t>
  </si>
  <si>
    <t>11 And 12 Upper Lodge Mews_x000D_Bushy Park_x000D_Hampton Hill_x000D__x000D_</t>
  </si>
  <si>
    <t>16/3506/FUL</t>
  </si>
  <si>
    <t>Demolition of the existing building and erection of 2 buildings at single-storey and three-stories to provide 24 affordable residential units (sheltered accommodation for older people of the minimum age of 55) with associated external amenities, communal</t>
  </si>
  <si>
    <t>Somerville House_x000D_1 Rodney Road_x000D_Twickenham_x000D__x000D_</t>
  </si>
  <si>
    <t>TW2 7AL</t>
  </si>
  <si>
    <t>16/3552/FUL</t>
  </si>
  <si>
    <t>Conversion and extension of the existing convent buildings (following demolition of some mid-20th century extensions), together with new build apartments and houses, to provide a total of 23 residential retirement units, an estate managers office and meet</t>
  </si>
  <si>
    <t>TW10 7JH</t>
  </si>
  <si>
    <t>16/3625/FUL</t>
  </si>
  <si>
    <t>Demolition of existing car repair workshop and replacement with 1 no. ground floor B1(a) commercial unit and 1 no. 2 bed residential unit with associated landscaping, car and cycle parking.</t>
  </si>
  <si>
    <t>65 Holly Road_x000D_Twickenham_x000D_TW1 4HF_x000D_</t>
  </si>
  <si>
    <t>TW1 4HF</t>
  </si>
  <si>
    <t>16/3685/FUL</t>
  </si>
  <si>
    <t>Demolition of existing garage. Alterations to main entrance, installation of ramp, loft conversion comprising hip to gable roof extension to rear roof slope, dormer on side roof slope, enlargement of single storey rear extension and two storey side extens</t>
  </si>
  <si>
    <t>11 Tayben Avenue_x000D_Twickenham_x000D_TW2 7RA</t>
  </si>
  <si>
    <t>TW2 7RA</t>
  </si>
  <si>
    <t>16/3961/FUL</t>
  </si>
  <si>
    <t>Demolition of rear stock room and yard to create a 2 bedroom dwelling over 2 floors with one integral parking space at ground level.</t>
  </si>
  <si>
    <t>8 Barnes High Street_x000D_Barnes_x000D_London_x000D_SW13 9LW_x000D_</t>
  </si>
  <si>
    <t>SW13 9LW</t>
  </si>
  <si>
    <t>16/4127/FUL</t>
  </si>
  <si>
    <t>Conversion of property into two residential units (1 x 2 bed house and 1 x 3 bed house) with associated alterations to fenestration arrangements; Levelling of ground level; new canopy structure to east elevation and enlargement of rear terrace at ground l</t>
  </si>
  <si>
    <t>Weir Cottage_x000D_5 Broom Road_x000D_Teddington_x000D__x000D_</t>
  </si>
  <si>
    <t>TW11 9NR</t>
  </si>
  <si>
    <t>16/4193/FUL</t>
  </si>
  <si>
    <t>Demolition of existing two-storey house and erection of replacement two-storey new build house with accommodation in roof space, associated parking and landscaping.</t>
  </si>
  <si>
    <t>12 Broad Lane_x000D_Hampton_x000D_TW12 3AW</t>
  </si>
  <si>
    <t>TW12 3AW</t>
  </si>
  <si>
    <t>16/4384/FUL</t>
  </si>
  <si>
    <t>Demolition of the existing garage and erection of a new partially sunken one-bedroom, single-storey dwelling, and provision of a new boundary wall and entrance gate.</t>
  </si>
  <si>
    <t>SW14</t>
  </si>
  <si>
    <t>16/4405/FUL</t>
  </si>
  <si>
    <t>Demolition of an existing 3 bedroom bungalow and erection of a new 4 bedroom two storey dwelling (including loft accommodation) with associated landscaping works).</t>
  </si>
  <si>
    <t>46 Sixth Cross Road_x000D_Twickenham_x000D_TW2 5PB_x000D_</t>
  </si>
  <si>
    <t>TW2 5PB</t>
  </si>
  <si>
    <t>16/4553/FUL</t>
  </si>
  <si>
    <t>Demolition of existing buildings on site and erection 2 buildings (two to four-storeys in height), set around outer and inner landscaped courtyards, comprising of 6 townhouses, 35 flats and two commercial units on the High Street frontage (110 sq.m GIA) a</t>
  </si>
  <si>
    <t>63 - 71 High Street_x000D_Hampton Hill_x000D__x000D_</t>
  </si>
  <si>
    <t>TW12 1NH</t>
  </si>
  <si>
    <t>16/4587/FUL</t>
  </si>
  <si>
    <t>Proposed conversion of garden studio to one person residential studio incorporating the extension of depth and height of existing garden studio in order to create a first floor level, with installation of a rooflight to the eastern roofslope and a rooflig</t>
  </si>
  <si>
    <t>24 Christchurch Road_x000D_East Sheen_x000D_London_x000D_SW14 7AA</t>
  </si>
  <si>
    <t>SW14 7AA</t>
  </si>
  <si>
    <t>16/4635/FUL</t>
  </si>
  <si>
    <t>Construction of a three bedroom single storey dwelling with associated hard and soft landscaping, parking and access road (bollard lit)</t>
  </si>
  <si>
    <t>Land Rear Of 12 To 36_x000D_Vincam Close_x000D_Twickenham_x000D__x000D_</t>
  </si>
  <si>
    <t>16/4772/GPD15</t>
  </si>
  <si>
    <t>Change of use of first floor from B1 office use to C3 residential use comprising 9 units (8 x 1 bed and 1 x 2 bed flats)</t>
  </si>
  <si>
    <t>52 - 64 Heath Road_x000D_Twickenham_x000D__x000D_</t>
  </si>
  <si>
    <t>16/4890/FUL</t>
  </si>
  <si>
    <t>Redevelopment of site to provide for a mixed use development of 535m2 of commercial space (B1 (a), (b) and (c) and B8 use) and 20 residential units, together with car parking and landscaping</t>
  </si>
  <si>
    <t>16/4902/FUL</t>
  </si>
  <si>
    <t>Construction of a two storey, one bed dwelling-house along with associated cycle storage, car parking and landscaping.</t>
  </si>
  <si>
    <t>91 Sheen Road_x000D_Richmond_x000D_TW9 1YJ</t>
  </si>
  <si>
    <t>TW9 1YJ</t>
  </si>
  <si>
    <t>TW11 8QZ</t>
  </si>
  <si>
    <t>17/0164/GPD15</t>
  </si>
  <si>
    <t>Ground Floor_x000D_101 Holly Road_x000D_Twickenham_x000D_TW1 4HQ_x000D_</t>
  </si>
  <si>
    <t>TW1 4HQ</t>
  </si>
  <si>
    <t>17/0315/FUL</t>
  </si>
  <si>
    <t>Part change of use of ground and first floor from B1 office use to C3  residential use to provide 2 x 2 bedroom duplex units.  Alterations and extension to facilitate the provision of additional B1 office use and C3 residential use at second floor level (</t>
  </si>
  <si>
    <t>Willoughby House_x000D_439 Richmond Road_x000D_Twickenham_x000D_TW1 2AG_x000D_</t>
  </si>
  <si>
    <t>TW1 2AG</t>
  </si>
  <si>
    <t>17/0323/FUL</t>
  </si>
  <si>
    <t>Erection of a three-storey building to provide  4 two-bedroom residential units (Class C3) separate refuse facilities and altered parking layout.</t>
  </si>
  <si>
    <t>Courtyard Apartments_x000D_70B Hampton Road_x000D_Teddington_x000D__x000D_</t>
  </si>
  <si>
    <t>TW11 0JX</t>
  </si>
  <si>
    <t>17/0330/FUL</t>
  </si>
  <si>
    <t>1 no. 2 storey 6-bedroom dwellinghouse with rooms in the roof and 1 no. one storey with basement 5-bedroom dwelling house (following demolition of existing dwelling at No.58 Munster Road), and associated refuse/recycling store, cycle parking and parking a</t>
  </si>
  <si>
    <t>58 Munster Road_x000D_Teddington_x000D_TW11 9LL</t>
  </si>
  <si>
    <t>TW11 9LL</t>
  </si>
  <si>
    <t>17/0341/GPD13</t>
  </si>
  <si>
    <t>Change of use from retail (Use Class A1) to 1 residential unit (Use Class C3) with associated cycle and refuse provision.</t>
  </si>
  <si>
    <t>Teddington Garden Centre_x000D_Station Road_x000D_Teddington_x000D_TW11 9AA_x000D_</t>
  </si>
  <si>
    <t>TW11 9AA</t>
  </si>
  <si>
    <t>17/0346/FUL</t>
  </si>
  <si>
    <t>Subdivision of house (C3) to form 2 no. 2-bed flats (C3), ground floor infill side extension, to the rear of property, with windows to north elevation and hip to gable roof extension, rear facing dormer, including 2 No. front facing rooflights, following</t>
  </si>
  <si>
    <t>49 Manor Road_x000D_Richmond_x000D_TW9 1YA</t>
  </si>
  <si>
    <t>TW9 1YA</t>
  </si>
  <si>
    <t>17/0396/FUL</t>
  </si>
  <si>
    <t>Demolition of existing garages and creation of 3 x 1bed 2person flats and 1 x 2bed 3-person bungalow with associated parking and landscaping.</t>
  </si>
  <si>
    <t>TW10</t>
  </si>
  <si>
    <t>17/0460/FUL</t>
  </si>
  <si>
    <t>Reversion of 4no. flats to a single family dwellinghouse.</t>
  </si>
  <si>
    <t>45 Castelnau_x000D_Barnes_x000D_London_x000D_SW13 9RT</t>
  </si>
  <si>
    <t>SW13 9RT</t>
  </si>
  <si>
    <t>17/0600/FUL</t>
  </si>
  <si>
    <t>Change of use from existing open hall (D1) into 2 x residential apartments (C3). _x000D_</t>
  </si>
  <si>
    <t>2-4 _x000D_Heath Road_x000D_Twickenham_x000D_TW1 4BZ</t>
  </si>
  <si>
    <t>TW1 4BZ</t>
  </si>
  <si>
    <t>17/0733/FUL</t>
  </si>
  <si>
    <t>Alterations incorporating rear dormer, rooflights to front roofslope and external stairs to rear.  Alterations to create a 1-bed flat on the first floor, a 2-bed duplex flat on the second and third floor roof extension. Division of the rear roof terrace w</t>
  </si>
  <si>
    <t>26 Colston Road_x000D_East Sheen_x000D_London_x000D_SW14 7PG</t>
  </si>
  <si>
    <t>SW14 7PG</t>
  </si>
  <si>
    <t>17/0788/FUL</t>
  </si>
  <si>
    <t>Demolition of lock up garages to provide 1 no. detached 4 bedroom dwellinghouse with associated parking, cycle and refuse stores, new boundary fence and hard and soft landscaping.</t>
  </si>
  <si>
    <t>17/0798/FUL</t>
  </si>
  <si>
    <t>Demolition of the existing detached bungalow and all outbuildings on site together with infill of the existing ponds to facilitate the construction of a pair of four bedroom semi-detached houses with associated boundary treatment, car parking, bin storage</t>
  </si>
  <si>
    <t>25 Cedar Avenue_x000D_Twickenham_x000D_TW2 7HD</t>
  </si>
  <si>
    <t>TW2 7HD</t>
  </si>
  <si>
    <t>17/0956/FUL</t>
  </si>
  <si>
    <t>Proposed demolition of existing buildings and erection of residential-led mixed-use development and associated works.</t>
  </si>
  <si>
    <t>Rear Of_x000D_74 Church Road_x000D_Barnes_x000D_London_x000D_SW13 0DQ_x000D_</t>
  </si>
  <si>
    <t>SW13 0DQ</t>
  </si>
  <si>
    <t>17/1033/FUL</t>
  </si>
  <si>
    <t>Demolition of Lockcorp House; erection of a part four, part five-storey building comprising  9 no. student cluster flats (49 study/bedrooms in total); three car parking spaces including one disabled space, ancillary cycle and refuse storage and landscapin</t>
  </si>
  <si>
    <t>TW2 7LN</t>
  </si>
  <si>
    <t>17/1207/FUL</t>
  </si>
  <si>
    <t>Redevelopment comprising ground floor Change of Use from MOT garage (B2) to a Dental Surgery (D1) and Office (B1); and replacement (over) of 1 no. 2-bed flat with 3 no. 2-bed flats; and associated landscaping.</t>
  </si>
  <si>
    <t>12 Princes Road_x000D_Kew_x000D_Richmond_x000D_TW9 3HP_x000D_</t>
  </si>
  <si>
    <t>TW9 3HP</t>
  </si>
  <si>
    <t>17/1285/GPD15</t>
  </si>
  <si>
    <t>Change of use from B1 office to C3 residential.</t>
  </si>
  <si>
    <t>First Floor_x000D_300 - 302 Sandycombe Road_x000D_Richmond_x000D__x000D_</t>
  </si>
  <si>
    <t>TW9 3NG</t>
  </si>
  <si>
    <t>17/1286/VRC</t>
  </si>
  <si>
    <t>Variation of approved drawing nos attached to 14/0914/FUL to allow for the development of Block B as two blocks and an increase in the overall number of units from 220 to 238 and minor changes to the riverside walkway._x000D_To allow changes to the internal lay</t>
  </si>
  <si>
    <t>17/1390/FUL</t>
  </si>
  <si>
    <t>Demolition of builders storage building and erection of one bedroomed  2 storey detached dwellinghouse with basement.</t>
  </si>
  <si>
    <t>Land Adjacent To No 1_x000D_South Western Road_x000D_Twickenham_x000D__x000D_</t>
  </si>
  <si>
    <t>TW1 1LG</t>
  </si>
  <si>
    <t>17/1453/FUL</t>
  </si>
  <si>
    <t>Change of use of premises to live/work unit (mixed C3/B1(c) (sui generis)).  First floor extension. Erection of timber screening to existing roof terrace. Alterations to existing elevations.</t>
  </si>
  <si>
    <t>100 Colne Road_x000D_Twickenham_x000D_TW2 6QE_x000D_</t>
  </si>
  <si>
    <t>TW2 6QE</t>
  </si>
  <si>
    <t>17/1550/FUL</t>
  </si>
  <si>
    <t>Demolition of existing building and erection of part two storey/part four storey building to provide 9 residential flats (6 x one bed, 3 x two bed) and new basement level to facilitate provision of underground parking and associated hard and soft landscap</t>
  </si>
  <si>
    <t>The Firs_x000D_Church Grove_x000D_Hampton Wick_x000D_Kingston Upon Thames_x000D_KT1 4AL_x000D_</t>
  </si>
  <si>
    <t>KT1 4AL</t>
  </si>
  <si>
    <t>17/1621/FUL</t>
  </si>
  <si>
    <t>Conversion of First Floor Offices (B1) to Residential (C3) and Remodelling of Second Floor Flat.</t>
  </si>
  <si>
    <t>3 Union Court_x000D_Sheen Road_x000D_Richmond_x000D__x000D_</t>
  </si>
  <si>
    <t>TW9</t>
  </si>
  <si>
    <t>17/1782/FUL</t>
  </si>
  <si>
    <t>Demolition of existing two-storey detached dwelling with basement, and construction of new three-storey detached dwelling with basement.</t>
  </si>
  <si>
    <t>8 Atbara Road_x000D_Teddington_x000D_TW11 9PD</t>
  </si>
  <si>
    <t>TW11 9PD</t>
  </si>
  <si>
    <t>17/1937/FUL</t>
  </si>
  <si>
    <t>Demolition of the existing coach houses to allow for the erection of two dwellinghouses (1x 2b 4p and 1x 2b 3p) with internal cycle and refuse/recycle storages.</t>
  </si>
  <si>
    <t>2 - 3 Stable Mews_x000D_Twickenham_x000D__x000D_</t>
  </si>
  <si>
    <t>TW1 4DN</t>
  </si>
  <si>
    <t>17/1996/FUL</t>
  </si>
  <si>
    <t>Demolition of existing outbuildings and construction of 2 No. detached dwellinghouses.</t>
  </si>
  <si>
    <t>49 Clifford Avenue_x000D_East Sheen_x000D_London_x000D_SW14 7BW</t>
  </si>
  <si>
    <t>SW14 7BW</t>
  </si>
  <si>
    <t>17/2314/FUL</t>
  </si>
  <si>
    <t>Demolition of the existing two storey detached house and replacement with a new  built three storey detached house with basement with associated hard and soft landscaping.</t>
  </si>
  <si>
    <t>34 Courtlands Avenue_x000D_Hampton_x000D_TW12 3NT</t>
  </si>
  <si>
    <t>TW12 3NT</t>
  </si>
  <si>
    <t>17/2488/FUL</t>
  </si>
  <si>
    <t>Replacement dwellinghouse with associated landscaping, boundary treatment and summer house.</t>
  </si>
  <si>
    <t>32 Fife Road_x000D_East Sheen_x000D_London_x000D_SW14 7EL</t>
  </si>
  <si>
    <t>SW14 7EL</t>
  </si>
  <si>
    <t>17/2534/FUL</t>
  </si>
  <si>
    <t>Creation of a single storey rear and side extension and conversion of the two lower flats and upper maisonette into a single dwelling house</t>
  </si>
  <si>
    <t>1 Royston Road_x000D_Richmond_x000D__x000D_</t>
  </si>
  <si>
    <t>TW10 6LT</t>
  </si>
  <si>
    <t>17/2586/FUL</t>
  </si>
  <si>
    <t>Change of use from 2 no. flats back to a single family dwelling house.</t>
  </si>
  <si>
    <t>First Floor Flat_x000D_18 Percival Road_x000D_East Sheen_x000D_London_x000D_SW14 7QE_x000D_</t>
  </si>
  <si>
    <t>SW14 7QE</t>
  </si>
  <si>
    <t>17/2597/GPD15</t>
  </si>
  <si>
    <t>Conversion of East and West House from B1(a) offices to 1 x 2 bed house (C3) (West House) and 2 x 2 bed flats (C3) (East House).</t>
  </si>
  <si>
    <t>West House 108 And East House 109_x000D_South Worple Way_x000D_East Sheen_x000D_London_x000D__x000D_</t>
  </si>
  <si>
    <t>SW14 8ND</t>
  </si>
  <si>
    <t>17/2680/FUL</t>
  </si>
  <si>
    <t>Demolition of existing detached house and erection of 3no. new residential units comprising 2x 4 bedroom semi detached houses and 1x detached 5 bedroom house, together with associated landscaping and parking</t>
  </si>
  <si>
    <t>4 Warwick Close_x000D_Hampton_x000D_TW12 2TY</t>
  </si>
  <si>
    <t>TW12 2TY</t>
  </si>
  <si>
    <t>17/2693/GPD15</t>
  </si>
  <si>
    <t>Change of use from Class B1(a) office to Class C3 residential.</t>
  </si>
  <si>
    <t>246 Upper Richmond Road West_x000D_East Sheen_x000D_London_x000D_SW14 8AG_x000D_</t>
  </si>
  <si>
    <t>SW14 8AG</t>
  </si>
  <si>
    <t>17/2769/FUL</t>
  </si>
  <si>
    <t>Demolition of existing detached dwelling and construction of a new 2 storey, 5 bedroom dwelling.</t>
  </si>
  <si>
    <t>54 Sandy Lane_x000D_Petersham_x000D_Richmond_x000D_TW10 7EL_x000D_</t>
  </si>
  <si>
    <t>TW10 7EL</t>
  </si>
  <si>
    <t>17/2779/NMA</t>
  </si>
  <si>
    <t>Non Material Amendment to Planning Permission 17/2779/VRC  (Removal of condition U05665 - NS09 (Formally condition 9 - Lifetime Homes Standards) of Planning Permission 16/0523/VRC) Amendments to include internal amendments to revise housing mix in Latchme</t>
  </si>
  <si>
    <t>HMP Latchmere House_x000D_Church Road_x000D_Ham_x000D_Richmond_x000D_TW10 5HH_x000D_</t>
  </si>
  <si>
    <t>TW10 5HH</t>
  </si>
  <si>
    <t>17/2939/FUL</t>
  </si>
  <si>
    <t>Part conversion of rear shop unit and single storey side/rear extension to form a studio flat._x000D_</t>
  </si>
  <si>
    <t>54 White Hart Lane_x000D_Barnes_x000D_London_x000D_SW13 0PZ_x000D_</t>
  </si>
  <si>
    <t>SW13 0PZ</t>
  </si>
  <si>
    <t>17/2957/FUL</t>
  </si>
  <si>
    <t>Formation of additional floor of accommodation in the form of a mansard style roof extension to facilitate the conversion of existing first floor 3 bedroom flat into 2x1 bedroom flats and provision of 2x1 bedroom flats at second floor level through the ma</t>
  </si>
  <si>
    <t>4A New Broadway_x000D_Hampton Hill_x000D_Hampton_x000D_TW12 1JG_x000D_</t>
  </si>
  <si>
    <t>TW12 1JG</t>
  </si>
  <si>
    <t>17/2995/FUL</t>
  </si>
  <si>
    <t>Change of use from a House in Multiple Occupation (Use Class C4) to create three self-contained flats (Use Class C3).  Installation of rear conservation rooflight, side ground floor window and replacement windows.</t>
  </si>
  <si>
    <t>24 Larkfield Road_x000D_Richmond_x000D__x000D_</t>
  </si>
  <si>
    <t>TW9 2PF</t>
  </si>
  <si>
    <t>17/3001/GPD16</t>
  </si>
  <si>
    <t>Change of use from B8 (storage) to C3 (residential use) to create a 1 bedroom unit.</t>
  </si>
  <si>
    <t>TW11 9BN</t>
  </si>
  <si>
    <t>17/3003/GPD16</t>
  </si>
  <si>
    <t>Change of use from B8 (storage) to C3 (residential) to create 2 Studio units.</t>
  </si>
  <si>
    <t>Unit 4 To 5A_x000D_Plough Lane_x000D_Teddington_x000D__x000D_</t>
  </si>
  <si>
    <t>17/3054/FUL</t>
  </si>
  <si>
    <t>Demolition of existing garages and erection of a pair of two-storey, 3-bedroom semi-detached houses (2 no.), with associated landscaping and 4 off-street parking bays.</t>
  </si>
  <si>
    <t>Garage Site _x000D_Marys Terrace_x000D_Twickenham_x000D_TW1 3JB</t>
  </si>
  <si>
    <t>TW1 3JB</t>
  </si>
  <si>
    <t>17/3077/FUL</t>
  </si>
  <si>
    <t>Erection of a 3 storey dwellinghouse with accommodation at basement level, associated landscaping works and rear outbuilding for garage.</t>
  </si>
  <si>
    <t>4 Church Street_x000D_Twickenham_x000D_TW1 3NJ</t>
  </si>
  <si>
    <t>TW1 3NJ</t>
  </si>
  <si>
    <t>17/3132/FUL</t>
  </si>
  <si>
    <t>Demolition of existing garage and construction of a two-storey, 3-bedroom house, with accommodation in the roof space. Formation of new vehicular access and 1 off-street parking space in front on no.22.</t>
  </si>
  <si>
    <t>TW1 2JX</t>
  </si>
  <si>
    <t>17/3265/FUL</t>
  </si>
  <si>
    <t>Demolition of existing detached house and erection of a new detached single family dwellinghouse.</t>
  </si>
  <si>
    <t>Lestock House_x000D_73B Castelnau_x000D_Barnes_x000D_London_x000D_SW13 9RT_x000D_</t>
  </si>
  <si>
    <t>17/3347/FUL</t>
  </si>
  <si>
    <t>Erection of a pair of four-bedroom semi-detached dwellings together with landscaping, following demolition of existing hall building (use class D2).</t>
  </si>
  <si>
    <t>12 Westfields Avenue_x000D_Barnes_x000D_London_x000D_SW13 0AU</t>
  </si>
  <si>
    <t>SW13 0AU</t>
  </si>
  <si>
    <t>17/3402/GPD16</t>
  </si>
  <si>
    <t>Change of use from B8 (Storage) to C3 (Residential) to create 1 no. studio flat.</t>
  </si>
  <si>
    <t>Unit 1_x000D_Plough Lane_x000D_Teddington_x000D__x000D_</t>
  </si>
  <si>
    <t>17/3404/FUL</t>
  </si>
  <si>
    <t>Erection of a two storey side and single storey rear extension and change of existing C3(residential) use at first floor to facilitate the provision of B1(a) office floorspace with associated hard and soft landscaping, bin and cycle storage and 2 car park</t>
  </si>
  <si>
    <t>91 Stanley Road_x000D_Teddington_x000D_TW11 8UB</t>
  </si>
  <si>
    <t>TW11 8UB</t>
  </si>
  <si>
    <t>17/3590/FUL</t>
  </si>
  <si>
    <t>Demolition of the existing garages. Erection of 1 x 2 bed single storey house and 1 x 3 bed single storey house with basement with associated hard and soft landscaping, refuse and cycle stores.</t>
  </si>
  <si>
    <t>Garages Rear Of 48-52_x000D_Anlaby Road_x000D_Teddington_x000D__x000D_</t>
  </si>
  <si>
    <t>TW11 0PP</t>
  </si>
  <si>
    <t>17/3591/FUL</t>
  </si>
  <si>
    <t>Erection of external rear steps with railings to the property, new door on first floor side elevation to the rear (first floor) and proposed flues to the front elevation to accommodate the conversion of the existing three bedroom flat into 2x1 bed (1 pers</t>
  </si>
  <si>
    <t>94A High Street_x000D_Whitton_x000D_Twickenham_x000D_TW2 7LN_x000D_</t>
  </si>
  <si>
    <t>17/3610/FUL</t>
  </si>
  <si>
    <t>Partial demolition of existing buildings, refurbishment of  2  x commercial units (A2 use Class) on ground floor. Partial new build extensions to the roof in addition to ground, first and second floor extensions to the rear of the site to provide 2 x 2-be</t>
  </si>
  <si>
    <t>67 - 69 Barnes High Street_x000D_Barnes_x000D_London_x000D__x000D_</t>
  </si>
  <si>
    <t>SW13 9LD</t>
  </si>
  <si>
    <t>17/3667/FUL</t>
  </si>
  <si>
    <t>Demolition of existing staff accommodation caravans and storage barn and erection of replacement grooms accommodation.</t>
  </si>
  <si>
    <t>Manor Farm Riding School_x000D_Petersham Road_x000D_Petersham_x000D_Richmond_x000D_TW10 7AH_x000D_</t>
  </si>
  <si>
    <t>TW10 7AH</t>
  </si>
  <si>
    <t>17/3696/GPD16</t>
  </si>
  <si>
    <t>Change of use of premises from B8 (warehouse/distrubtion) to C3 (residential - 6 x 1 bed flats)</t>
  </si>
  <si>
    <t>1A St Leonards Road_x000D_East Sheen_x000D_London_x000D_SW14 7LY_x000D_</t>
  </si>
  <si>
    <t>SW14 7LY</t>
  </si>
  <si>
    <t>17/3795/GPD15</t>
  </si>
  <si>
    <t>Change of use from Offices (B1) to Residential (C3).</t>
  </si>
  <si>
    <t>25 Church Road_x000D_Teddington_x000D_TW11 8PF_x000D_</t>
  </si>
  <si>
    <t>TW11 8PF</t>
  </si>
  <si>
    <t>17/4005/FUL</t>
  </si>
  <si>
    <t>Installation of new shopfront, new front access door, new windows to front and rear facades, alterations to and replacement of existing fenestration, removal of external staircase at rear ground and first floor level, provision of bike store and removal o</t>
  </si>
  <si>
    <t>51 Kew Road_x000D_Richmond_x000D_TW9 2NQ</t>
  </si>
  <si>
    <t>TW9 2NQ</t>
  </si>
  <si>
    <t>17/4014/FUL</t>
  </si>
  <si>
    <t>126 Heath Road_x000D_Twickenham_x000D_TW1 4BN_x000D_</t>
  </si>
  <si>
    <t>TW1 4BN</t>
  </si>
  <si>
    <t>17/4015/FUL</t>
  </si>
  <si>
    <t>Erection of 2no. dwellings with associated cycle parking and refuse storage.</t>
  </si>
  <si>
    <t>TW9 1DN</t>
  </si>
  <si>
    <t>17/4114/PS192</t>
  </si>
  <si>
    <t>Change of use from Class C4 (House in Multiple Occupation) to C3 (residential) to provide 1 x 3 bed flat</t>
  </si>
  <si>
    <t>35A Broad Street_x000D_Teddington_x000D_TW11 8QZ_x000D_</t>
  </si>
  <si>
    <t>17/4122/FUL</t>
  </si>
  <si>
    <t>Demolition of garage and the erection of a three-storey two-bedroom detached dwelling with associated landscaping. (Re-consultation required for the following reason: Building line adjusted following a further site survey to accurately record the location</t>
  </si>
  <si>
    <t>SW13 0NX</t>
  </si>
  <si>
    <t>17/4238/FUL</t>
  </si>
  <si>
    <t>Demolition of the existing bungalow and construction of a new 6 bedroom detached house, to include external hard and soft landscaping to the front and rear, to be used as a children's home.</t>
  </si>
  <si>
    <t>105 Queens Road_x000D_Teddington_x000D_TW11 0LZ</t>
  </si>
  <si>
    <t>TW11 0LZ</t>
  </si>
  <si>
    <t>17/4268/FUL</t>
  </si>
  <si>
    <t>Demolition of existing garages and construction of a new part subterranean split level part two storey dwelling house, new landscaping to surrounding amenity space.</t>
  </si>
  <si>
    <t>41 Lonsdale Road_x000D_Barnes_x000D_London_x000D__x000D_</t>
  </si>
  <si>
    <t>SW13 9JR</t>
  </si>
  <si>
    <t>17/4292/FUL</t>
  </si>
  <si>
    <t>Proposed roof and side extension to the existing two storey residential building to provide three new apartment units and to increase the size of four of the existing units. Alterations to elevations including balconies at first and second floor.</t>
  </si>
  <si>
    <t>Cliveden House_x000D_Victoria Villas_x000D_Richmond_x000D_TW9 2JX_x000D_</t>
  </si>
  <si>
    <t>TW9 2JX</t>
  </si>
  <si>
    <t>17/4303/FUL</t>
  </si>
  <si>
    <t>Erection of a second floor roof extension to create a. two-bed flat with roof terraces</t>
  </si>
  <si>
    <t>TW11 8ST</t>
  </si>
  <si>
    <t>17/4344/FUL</t>
  </si>
  <si>
    <t>Change of use of first, second and third floors from Class A2 (offices) and Class A1 (ancillary office space) to 1 two-bedroom residential dwelling with roof terrace at fourth floor level with associated safety balustrade.</t>
  </si>
  <si>
    <t>First To Third Floors_x000D_2 The Square_x000D_Richmond_x000D__x000D_</t>
  </si>
  <si>
    <t>TW9 1DY</t>
  </si>
  <si>
    <t>17/4368/FUL</t>
  </si>
  <si>
    <t>Alterations to no. 117 to include demolition of existing two storey side extension, erection of a single storey rear extension and front porch.  New cycle store to rear. Subdivison of garden plot and demolition of existing garage at no. 117 to facilitate</t>
  </si>
  <si>
    <t>117 Rectory Grove_x000D_Hampton_x000D_TW12 1EG</t>
  </si>
  <si>
    <t>TW12 1EG</t>
  </si>
  <si>
    <t>17/4422/GPD15</t>
  </si>
  <si>
    <t>Change of use of the ground floor and accommodation above the rear workshop from Class B1(C) Light Industrial to Dwelling (Class C3).</t>
  </si>
  <si>
    <t>17/4453/FUL</t>
  </si>
  <si>
    <t>Single storey rear extension and basement extension, including lightwells to the front and rear, to create 1 no. additional new dwelling.</t>
  </si>
  <si>
    <t>286 Kew Road_x000D_Kew_x000D_Richmond_x000D_TW9 3DU_x000D_</t>
  </si>
  <si>
    <t>TW9 3DU</t>
  </si>
  <si>
    <t>17/4477/FUL</t>
  </si>
  <si>
    <t>Conversion of 2 flats into a single dwelling. Erection of a rear extension on the lower ground floor. Vertical enlargement of a rear window on the raised ground floor.</t>
  </si>
  <si>
    <t>15 Friars Stile Road_x000D_Richmond_x000D__x000D_</t>
  </si>
  <si>
    <t>TW10 6NH</t>
  </si>
  <si>
    <t>17/4517/VRC</t>
  </si>
  <si>
    <t>Variation of condition U30401 (Approved drawings) of planning permission 17/2624/FUL (Demolition of the existing four bedroom house and erection of two semi-detached, four bedroom townhouses incorporating basements) to allow for internal alterations to la</t>
  </si>
  <si>
    <t>66 Derby Road_x000D_East Sheen_x000D_London_x000D_SW14 7DP_x000D_</t>
  </si>
  <si>
    <t>SW14 7DP</t>
  </si>
  <si>
    <t>17/4606/FUL</t>
  </si>
  <si>
    <t>Construction of 2No. 3 bed dwellinghouses (including basement accommodation) with rear plot boundary alteration.</t>
  </si>
  <si>
    <t>1 Upper Ham Road_x000D_Ham_x000D_TW10 5LD_x000D__x000D_</t>
  </si>
  <si>
    <t>TW10 5LD</t>
  </si>
  <si>
    <t>18/0111/FUL</t>
  </si>
  <si>
    <t>Demolition of the existing two-storey side extension to allow for the provision of a detached two-storey (3 bedroom) dwellinghouse; subdivision of land;  associated car parking, cycle storage, refuse and recycling storage, hard and soft landscaping to bot</t>
  </si>
  <si>
    <t>1 Hospital Bridge Road_x000D_Twickenham_x000D_TW2 5UL</t>
  </si>
  <si>
    <t>TW2 5UL</t>
  </si>
  <si>
    <t>18/0216/FUL</t>
  </si>
  <si>
    <t>The division of the existing single dwelling on the upper floors into two dwellings. Rear dormer and roof lights to the front roofslope.</t>
  </si>
  <si>
    <t>34 Colston Road_x000D_East Sheen_x000D_London_x000D_SW14 7PG</t>
  </si>
  <si>
    <t>18/0268/FUL</t>
  </si>
  <si>
    <t>Demolition of the existing four bedroom house and garage and replace with a new build four bedroom house, together with associated hard and soft landscaping, cycle and refuse stores and parking.</t>
  </si>
  <si>
    <t>36 Sunnyside Road_x000D_Teddington_x000D_TW11 0RT</t>
  </si>
  <si>
    <t>TW11 0RT</t>
  </si>
  <si>
    <t>18/0282/FUL</t>
  </si>
  <si>
    <t>Demolition of the existing 2 storey residential building and single storey garages and erection of a pair of semi-detached, 3 storey (plus basement) 4 bedroom dwellings with associated private gardens and off street parking.  Creation of a new crossover a</t>
  </si>
  <si>
    <t>Upton House_x000D_19 - 20 Queens Ride_x000D_Barnes_x000D_London_x000D_SW13 0HX_x000D_</t>
  </si>
  <si>
    <t>SW13 0HX</t>
  </si>
  <si>
    <t>18/0301/FUL</t>
  </si>
  <si>
    <t>Demolition of the existing detached dwelling house and replacement with a new detached family home with associated off street parking.</t>
  </si>
  <si>
    <t>18 Cedar Heights_x000D_Petersham_x000D_Richmond_x000D_TW10 7AE_x000D_</t>
  </si>
  <si>
    <t>TW10 7AE</t>
  </si>
  <si>
    <t>18/0315/FUL</t>
  </si>
  <si>
    <t>Demolition of the existing Church Hall and the bungalow at No 44 The Avenue and erection of four dwellings (3 x 4B7P, 1 x 3B5P) (Use Class C3 Dwelling Houses); a new entrance lobby (Narthex) to All Saints' Church and a new Church Hall (Use Class D1: Non-R</t>
  </si>
  <si>
    <t>All Saints Parish Church_x000D_The Avenue_x000D_Hampton_x000D_TW12 3RG_x000D_</t>
  </si>
  <si>
    <t>TW12 3RG</t>
  </si>
  <si>
    <t>18/0318/FUL</t>
  </si>
  <si>
    <t>Change of use of existing basement area to residential (C3); part single; part two-storey rear extension (following demolition of existing rear extensions/outrigger); hip to gable and rear dormer roof extension; two rooflights to the front roofslope; deck</t>
  </si>
  <si>
    <t>Maisonette_x000D_35 Staines Road_x000D_Twickenham_x000D_TW2 5BG_x000D_</t>
  </si>
  <si>
    <t>TW2 5BG</t>
  </si>
  <si>
    <t>18/0433/FUL</t>
  </si>
  <si>
    <t>Change of Use from Respite Centre to Residential Use. To provide 1No. Studio &amp; 3No. 1 Bed Apartments, with associated Amenity Space &amp; Parking.</t>
  </si>
  <si>
    <t>26 Egerton Road_x000D_Twickenham_x000D_TW2 7SP</t>
  </si>
  <si>
    <t>TW2 7SP</t>
  </si>
  <si>
    <t>18/0449/FUL</t>
  </si>
  <si>
    <t>Replacement window on first floor front elevation to facilitate the conversion of existing 2 bed maisonette into 2 x 1bedroom flats.</t>
  </si>
  <si>
    <t>1 North Cottage_x000D_Hampton Court Road_x000D_Hampton_x000D_East Molesey_x000D_KT8 9BZ_x000D_</t>
  </si>
  <si>
    <t>KT8 9BZ</t>
  </si>
  <si>
    <t>18/0584/GPD15</t>
  </si>
  <si>
    <t>Change of use from B1c to C3 (Residential) to provide 2 x 2B4P flats.</t>
  </si>
  <si>
    <t>1 High Street_x000D_Hampton Hill_x000D__x000D_</t>
  </si>
  <si>
    <t>TW12 1NA</t>
  </si>
  <si>
    <t>18/0665/FUL</t>
  </si>
  <si>
    <t>Demolition of an existing detached bungalow, garage and outbuildings and the erection of 2No. semi-detached 3 bedroom houses with associated parking, cycle and refuse store and hard and soft landscaping. The removal of recessed entrance gates and erection</t>
  </si>
  <si>
    <t>243 Stanley Road_x000D_Twickenham_x000D_TW2 5NL</t>
  </si>
  <si>
    <t>TW2 5NL</t>
  </si>
  <si>
    <t>18/0692/FUL</t>
  </si>
  <si>
    <t>Part two-storey rear extensions with two rear gable roofs; part raising of the ridge height; removal of rear chimney; new windows (including removal) and door to the side (south elevation) at ground and first floor level; removal of side windows at ground</t>
  </si>
  <si>
    <t>83 Wensleydale Road_x000D_Hampton_x000D_TW12 2LP</t>
  </si>
  <si>
    <t>TW12 2LP</t>
  </si>
  <si>
    <t>18/0723/FUL</t>
  </si>
  <si>
    <t>Demolition of existing dwelling and the erection of a replacement two storey, 4 bedroom dwelling</t>
  </si>
  <si>
    <t>3 Queens Rise_x000D_Richmond_x000D_TW10 6HL</t>
  </si>
  <si>
    <t>TW10 6HL</t>
  </si>
  <si>
    <t>18/0737/FUL</t>
  </si>
  <si>
    <t>Change of use of rear part of ground floor from retail use (Class A1) to residential use (Class C3) to create a 1No. one-bedroom dwelling with basement accommodation excavated.</t>
  </si>
  <si>
    <t>70 White Hart Lane_x000D_Barnes_x000D_London_x000D_SW13 0PZ</t>
  </si>
  <si>
    <t>18/0743/FUL</t>
  </si>
  <si>
    <t>Demolition of the existing garage and concrete slabs and erection of 1 no. single storey two bedroom dwelling with green roof to the rear of 4 Sixth Cross Road. Demolition of existing garage to the rear of number 8 Sixth Cross Road to facilitate provision</t>
  </si>
  <si>
    <t>4 Sixth Cross Road_x000D_Twickenham_x000D_TW2 5PB_x000D_</t>
  </si>
  <si>
    <t>18/0745/FUL</t>
  </si>
  <si>
    <t>Part two-storey rear extension including Juliet balcony at ground floor level rear elevation; part lower ground floor side and rear extension to allow for the conversion of the existing dwellinghouse into 2x2 bed (1X 2B4P and 1x 2B3P flats); retention of</t>
  </si>
  <si>
    <t>149 High Street_x000D_Teddington_x000D_TW11 8HH</t>
  </si>
  <si>
    <t>TW11 8HH</t>
  </si>
  <si>
    <t>18/0771/FUL</t>
  </si>
  <si>
    <t>Erection of a 1B2P bungalow with associated hard and soft landscaping and cycle and refuse store.  Creation of dropped kerb to faclitate provision of 1 no. parking space.</t>
  </si>
  <si>
    <t>Land Adjacent To_x000D_94 Pigeon Lane_x000D_Hampton_x000D_TW12 1AF_x000D_</t>
  </si>
  <si>
    <t>TW12 1AF</t>
  </si>
  <si>
    <t>18/0860/GPD15</t>
  </si>
  <si>
    <t>Change of use from B1(c) to C3 to provide seven new self-contained studio residential dwellings.</t>
  </si>
  <si>
    <t>2 Elmfield Avenue_x000D_Teddington_x000D_TW11 8BS_x000D_</t>
  </si>
  <si>
    <t>TW11 8BS</t>
  </si>
  <si>
    <t>18/0866/FUL</t>
  </si>
  <si>
    <t>Extension and alterations to existing 2 no. retail units and 1 no. 3-bedroom residential unit to provide 1 no. A1/A2/B1 unit and 5 no. residential units, including provision of lower ground floor level and rear dormers.</t>
  </si>
  <si>
    <t>422 Upper Richmond Road West_x000D_East Sheen_x000D_London_x000D__x000D_</t>
  </si>
  <si>
    <t>TW10 5DY</t>
  </si>
  <si>
    <t>Construction of additional storey, two storey front extension, replacement windows and doors on all elevations and alterations to external materials on elevations to facilitate the change of use of building and 6 no. parking spaces from offices (Class B1(</t>
  </si>
  <si>
    <t>TW12 1RN</t>
  </si>
  <si>
    <t>18/0929/FUL</t>
  </si>
  <si>
    <t>Replacement shopfront and new entrance door.  New doors/windows to the side and rear elevation of the existing rear extension.   Change of use of the front part of ground floor level from restaurant (Class A3) to retail (Class A1).  First floor rear exten</t>
  </si>
  <si>
    <t>195 High Street_x000D_Hampton Hill_x000D_TW12 1NL</t>
  </si>
  <si>
    <t>18/0946/FUL</t>
  </si>
  <si>
    <t>Conversion of Second Floor Flat into 2 no. x 1-bedroom Flats</t>
  </si>
  <si>
    <t>Second Floor Flat _x000D_302 Sandycombe Road_x000D_Richmond_x000D_TW9 3NG</t>
  </si>
  <si>
    <t>18/1022/FUL</t>
  </si>
  <si>
    <t>Change of use of 1st floor from C3 (Residential) use to D1 use (Dental Surgery). Replacement 5 no. windows on second floor front elevation.</t>
  </si>
  <si>
    <t>Elmfield House_x000D_High Street_x000D_Teddington_x000D_TW11 8EW_x000D_</t>
  </si>
  <si>
    <t>18/1038/FUL</t>
  </si>
  <si>
    <t>Partial demolition and alterations to the existing building and the erection of 3 x 3-bedroom new build houses on the eastern part of the site, with associated parking and landscaping.</t>
  </si>
  <si>
    <t>21A St Leonards Road_x000D_East Sheen_x000D_London_x000D_SW14 7LY_x000D_</t>
  </si>
  <si>
    <t>18/1064/GPD15</t>
  </si>
  <si>
    <t>Change of use from offices (B1) to residential (C3)</t>
  </si>
  <si>
    <t>18/1114/FUL</t>
  </si>
  <si>
    <t>Proposed extension at roof level and 3 storey rear staircase extension to facilitate the creation of 1 no. 1B2P flat.  Reconfiguration of existing 2 x 2 bed maisonettes into 2 x 2 bed flats.  Alterations to external elevations of the property.  Provsion o</t>
  </si>
  <si>
    <t>TW12 1LF</t>
  </si>
  <si>
    <t>18/1175/FUL</t>
  </si>
  <si>
    <t>Construction of 3 front roof dormer windows to facilitate the creation of a new two-bedroom flat in the roof space, including the alteration to the layout of flat 19 (resulting in a decrease in size) to provide access.</t>
  </si>
  <si>
    <t>17 - 20 Tersha Street_x000D_Richmond_x000D__x000D_</t>
  </si>
  <si>
    <t>TW9 2LY</t>
  </si>
  <si>
    <t>18/1248/FUL</t>
  </si>
  <si>
    <t>Conversion, refurbishment and extension of existing tyre shop with maisonette above (C3) into two self-contained one bedroom flats (C3).</t>
  </si>
  <si>
    <t>1 Trinity Road_x000D_Richmond_x000D_TW9 2LD</t>
  </si>
  <si>
    <t>TW9 2LD</t>
  </si>
  <si>
    <t>18/1360/GPD15</t>
  </si>
  <si>
    <t>Change of use of ground floor from B1 (office) to C3 (dwellinghouse) to provide a 1 bedroom unit.</t>
  </si>
  <si>
    <t>1 Coval Passage_x000D_East Sheen_x000D_London_x000D_SW14 7RE_x000D_</t>
  </si>
  <si>
    <t>SW14 7RE</t>
  </si>
  <si>
    <t>TW2 5JL</t>
  </si>
  <si>
    <t>18/1442/FUL</t>
  </si>
  <si>
    <t>Demolition of the existing outbuilding to the rear of no.48 Fourth Cross Road accessed via Rutland Road and construction of 1x2 bedroom dwelling including basement, with associated car parking, cycle parking and recycle/refuse storage.</t>
  </si>
  <si>
    <t>Land Rear Of_x000D_48 Fourth Cross Road_x000D_Twickenham_x000D__x000D_</t>
  </si>
  <si>
    <t>TW2 5ER</t>
  </si>
  <si>
    <t>18/1446/FUL</t>
  </si>
  <si>
    <t>Demolition of existing single family dwelling and erection of a replacement two-storey dwelling house, with accommodation in the mansard roof.</t>
  </si>
  <si>
    <t>32 Albion Road_x000D_Twickenham_x000D_TW2 6QJ</t>
  </si>
  <si>
    <t>TW2 6QJ</t>
  </si>
  <si>
    <t>18/1566/FUL</t>
  </si>
  <si>
    <t>Second floor rear roof extension, replacement windows on first floor rear and side elevations, 2 no. rooflights on front roof slope to facilitate the conversion of existing 3 bed dwelling house to form 2x 2 bed flats and 1x 1 bed flat and associated cycle</t>
  </si>
  <si>
    <t>16 Whitton Road_x000D_Twickenham_x000D_TW1 1BJ</t>
  </si>
  <si>
    <t>TW1 1BJ</t>
  </si>
  <si>
    <t>18/1569/FUL</t>
  </si>
  <si>
    <t>Reversion of to two self-contained flats into single family dwelling house.</t>
  </si>
  <si>
    <t>14 Norman Avenue_x000D_Twickenham_x000D_TW1 2LY</t>
  </si>
  <si>
    <t>TW1 2LY</t>
  </si>
  <si>
    <t>18/1619/FUL</t>
  </si>
  <si>
    <t>Erection of rear roof extension with roof lights to front roof slope and conversion of first floor flat and new roof space into two self-contained flats.</t>
  </si>
  <si>
    <t>135A Sheen Lane_x000D_East Sheen_x000D_London_x000D_SW14 8AE</t>
  </si>
  <si>
    <t>SW14 8AE</t>
  </si>
  <si>
    <t>18/1722/GPD13</t>
  </si>
  <si>
    <t>Change of use from A1(Retail) to C3 (Residential) to create a two bedroom flat.</t>
  </si>
  <si>
    <t>Ground Floor_x000D_204 Stanley Road_x000D_Teddington_x000D_TW11 8UE_x000D_</t>
  </si>
  <si>
    <t>TW11 8UE</t>
  </si>
  <si>
    <t>18/1743/FUL</t>
  </si>
  <si>
    <t>Subdivision of existing curtilage at 168 Broom Road; alterations to existing garage to the rear of the site comprising single storey side extension; two rear dormer roof extensions; two rooflights to the front roofslope and fenestration alterations to fac</t>
  </si>
  <si>
    <t>168 Broom Road_x000D_Teddington_x000D_TW11 9PQ_x000D_</t>
  </si>
  <si>
    <t>TW11 9PQ</t>
  </si>
  <si>
    <t>18/1767/FUL</t>
  </si>
  <si>
    <t>Alterations to the existing shopfront and reduction to ground floor floorspace to facilitate the re-provision of a Class A2 use at ground floor level.  _x000D_Change of use of existing A2 to C3 (Residential) Use at part ground level and first floor level.  Repl</t>
  </si>
  <si>
    <t>73 High Street_x000D_Hampton Hill_x000D_TW12 1NH_x000D_</t>
  </si>
  <si>
    <t>18/1808/FUL</t>
  </si>
  <si>
    <t>Demolition of existing building in Use Class B8 (storage and distribution) and change of use of land to C3 (residential) use.  Erection of a part two storey part single storey building to provide 4 bed (4B8P) dwellinghouse with associated parking, hard an</t>
  </si>
  <si>
    <t>TW11 8AP</t>
  </si>
  <si>
    <t>18/1817/GPD15</t>
  </si>
  <si>
    <t>Change of use from an office (Use Class B1(a)) to residential (Use Class C3) to provide 1 x 4 bed dwellinghouse.</t>
  </si>
  <si>
    <t>9 Elmtree Road_x000D_Teddington_x000D_TW11 8SJ_x000D_</t>
  </si>
  <si>
    <t>TW11 8SJ</t>
  </si>
  <si>
    <t>18/1911/FUL</t>
  </si>
  <si>
    <t>First floor side extension and internal alterations (loss of floor space to existing first floor flat) in connection with the formation of an additional studio flat.</t>
  </si>
  <si>
    <t>74 Copthall Gardens_x000D_Twickenham_x000D_TW1 4HJ_x000D__x000D_</t>
  </si>
  <si>
    <t>TW1 4HJ</t>
  </si>
  <si>
    <t>18/2038/FUL</t>
  </si>
  <si>
    <t>Demolition of existing building and construction of new building with basement.</t>
  </si>
  <si>
    <t>33 Parke Road_x000D_Barnes_x000D_London_x000D_SW13 9NJ</t>
  </si>
  <si>
    <t>SW13 9NJ</t>
  </si>
  <si>
    <t>18/2114/FUL</t>
  </si>
  <si>
    <t>Two-storey rear extension, rear roof extension and conversion of the rear part of the ground floor shop; in connection with the use of the property as a ground floor retail unit, 1x two-bedroom flat and 2 x one-bedroom flats.</t>
  </si>
  <si>
    <t>7 Barnes High Street_x000D_Barnes_x000D_London_x000D_SW13 9LW</t>
  </si>
  <si>
    <t>18/2235/VRC</t>
  </si>
  <si>
    <t>Removal of Condition U35386 (Residential-Ancillary Accommodation) and vary condition U35387 (Mixed use A4/C1) of planning permission 17/2301/FUL to exclude the reference to the stable block.</t>
  </si>
  <si>
    <t>Jolly Coopers _x000D_16 High Street_x000D_Hampton_x000D_TW12 2SJ</t>
  </si>
  <si>
    <t>TW12 2SJ</t>
  </si>
  <si>
    <t>18/2296/ES191</t>
  </si>
  <si>
    <t>Use of the ground floor (left annex) as a self-contained dwelling (C3).</t>
  </si>
  <si>
    <t>706A Hanworth Road_x000D_Whitton_x000D_Hounslow_x000D_TW4 5NT_x000D_</t>
  </si>
  <si>
    <t>18/2322/FUL</t>
  </si>
  <si>
    <t>Demolition of existing single-storey rear lean-to extension and formation of new external patio and other external alterations to elevations.  Change of use of rear part of ground floor level from A1(retail) to C3 (residential) to faciliate its conversion</t>
  </si>
  <si>
    <t>300 - 302 Sandycombe Road_x000D_Richmond_x000D_TW9 3NG_x000D_</t>
  </si>
  <si>
    <t>18/2328/GPD15</t>
  </si>
  <si>
    <t>Change of use from B1 to C3 (1No. studio flat and 2No. one bed apartments).</t>
  </si>
  <si>
    <t>4 Udney Park Road_x000D_Teddington_x000D_TW11 9BG_x000D_</t>
  </si>
  <si>
    <t>TW11 9BG</t>
  </si>
  <si>
    <t>18/2494/FUL</t>
  </si>
  <si>
    <t>Demolition of an existing dwelling and erection of 2no. two-storey three-bedroom dwelling houses with roof space accommodation  and associated landscaping. Replacement of front boundary wall. Removal of crossover and closure of vehicular access.</t>
  </si>
  <si>
    <t>4 West Temple Sheen_x000D_East Sheen_x000D_London_x000D_SW14 7RT</t>
  </si>
  <si>
    <t>SW14 7RT</t>
  </si>
  <si>
    <t>18/2620/FUL</t>
  </si>
  <si>
    <t>Single storey rear extension to facilitate the provision of 1 x studio flat including secure bicycle storage for the proposed new unit and the existing ground floor and first floor units in the existing building.</t>
  </si>
  <si>
    <t>Ground Floor _x000D_204 Stanley Road_x000D_Teddington_x000D_TW11 8UE</t>
  </si>
  <si>
    <t>18/2716/GPD13</t>
  </si>
  <si>
    <t>Change of use of premises from a A1 use to to C3 (residential use - 2 no studio flats and 1 x 1 bed flat with existing first floor flat above no. 561 to remain)</t>
  </si>
  <si>
    <t>561 - 563 Upper Richmond Road West_x000D_East Sheen_x000D_London_x000D_SW14 7ED_x000D_</t>
  </si>
  <si>
    <t>SW14 7ED</t>
  </si>
  <si>
    <t>18/2928/FUL</t>
  </si>
  <si>
    <t>Change of use of ancillary A3 accommodation on 1st and 2nd floors to create 1No. 3bed self-contained flat (C3 use) and installation of a rear door and railings at first floor level.</t>
  </si>
  <si>
    <t>20 - 22 High Street_x000D_Teddington_x000D_TW11 8EW_x000D_</t>
  </si>
  <si>
    <t>18/2943/FUL</t>
  </si>
  <si>
    <t>Construction of part second floor extension to facilitate the creation of 6No. one bedroom flats with associated alterations, new bin and cycle storage and associated car parking.</t>
  </si>
  <si>
    <t>A1 - A3 Kingsway_x000D_Oldfield Road_x000D_Hampton_x000D_TW12 2HD</t>
  </si>
  <si>
    <t>TW12 2HE</t>
  </si>
  <si>
    <t>18/3003/FUL</t>
  </si>
  <si>
    <t>Part single, part two-storey rear extension to facilitate the creation of a 1No. 2-bedroom (3 person) dwellinghouse with associated hard and soft landscaping, new boundary railings, sliding gate and timber fencing, cycle, refuse and recycle storage and fo</t>
  </si>
  <si>
    <t>391 St Margarets Road_x000D_Twickenham_x000D_Isleworth_x000D_TW7 7BZ_x000D_</t>
  </si>
  <si>
    <t>TW7 7BZ</t>
  </si>
  <si>
    <t>18/3195/GPD15</t>
  </si>
  <si>
    <t>Change of use of first and second floor B1(a) office accommodation to 1 x three bedroom C3 residential unit.</t>
  </si>
  <si>
    <t>75 Sheen Lane_x000D_East Sheen_x000D_London_x000D_SW14 8AD_x000D_</t>
  </si>
  <si>
    <t>18/3285/FUL</t>
  </si>
  <si>
    <t>Demolition of existing house and construction of a new 5 bed house with basement</t>
  </si>
  <si>
    <t>74 Lowther Road_x000D_Barnes_x000D_London_x000D_SW13 9NU</t>
  </si>
  <si>
    <t>SW13 9NU</t>
  </si>
  <si>
    <t>18/3460/FUL</t>
  </si>
  <si>
    <t>Infill of internal void with new roof section over to facilitate conversion of existing three-bedroom dwelling (flat) above a retail unit to 2no. one-bed dwellings (flats) above retail unit._x000D_</t>
  </si>
  <si>
    <t>20A Red Lion Street_x000D_Richmond_x000D_TW9 1RW</t>
  </si>
  <si>
    <t>TW9 1RW</t>
  </si>
  <si>
    <t>18/3515/FUL</t>
  </si>
  <si>
    <t>Conversion of first and second floor flat and construction of rear dormer roof extension to provide 4no. (3 x 1B1P and 1 x 2B3P) residential dwellings and other alterations.</t>
  </si>
  <si>
    <t>311 Upper Richmond Road West_x000D_East Sheen_x000D_London_x000D_SW14 8QR_x000D_</t>
  </si>
  <si>
    <t>SW14 8QR</t>
  </si>
  <si>
    <t>18/3613/GPD15</t>
  </si>
  <si>
    <t>Change of use from office B1(a) to C3 (Resdiential) use to provide 1 x 1 bed dwellinghouse.</t>
  </si>
  <si>
    <t>108 Shacklegate Lane_x000D_Teddington_x000D_TW11 8SH_x000D_</t>
  </si>
  <si>
    <t>TW11 8SH</t>
  </si>
  <si>
    <t>18/3696/FUL</t>
  </si>
  <si>
    <t>Change of use of existing A2 (Financial and professional services) to C3 (Residential) to create 1No. 1 bed flat; Fenestration alterations; Insertion of rooflights to single storey front projection and single storey side/rear extension.</t>
  </si>
  <si>
    <t>192 Heath Road_x000D_Twickenham_x000D_TW2 5TX</t>
  </si>
  <si>
    <t>TW2 5TX</t>
  </si>
  <si>
    <t>18/3768/FUL</t>
  </si>
  <si>
    <t>Demolition of two existing workshop buildings. Change of use from current vacant B1 use to C3. Construction of 2No. semi-detached 5-bedroom family houses consisting of 2 storeys plus loft space with integral garaging.  Associated hard &amp; soft landscaping t</t>
  </si>
  <si>
    <t>58 Oldfield Road_x000D_Hampton_x000D_TW12 2AE</t>
  </si>
  <si>
    <t>TW12 2AE</t>
  </si>
  <si>
    <t>18/3804/FUL</t>
  </si>
  <si>
    <t>Demolition of buildings on site and construction of a 3 storey building fronting Station Road, comprising 254sqm ground floor light industrial use (B1c Use Class) with 7 apartments above (5No. 2B4P flats and 2No. 1B2P flats) and a 2 storey building fronti</t>
  </si>
  <si>
    <t>139 - 143 Station Road_x000D_Hampton_x000D_TW12 2AL_x000D_</t>
  </si>
  <si>
    <t>TW12 2AL</t>
  </si>
  <si>
    <t>18/3815/GPD15</t>
  </si>
  <si>
    <t>Change of use of two detached buildings and the associated curtilage from light industrial use (Class B1(c)) to residential use (Class C3) to provide 7 x 1 bedroom units and 1 x 2 bedroom unit.</t>
  </si>
  <si>
    <t>42 - 42A High Street_x000D_Hampton Wick_x000D_Kingston Upon Thames_x000D_KT1 4DB_x000D_</t>
  </si>
  <si>
    <t>KT1 4DB</t>
  </si>
  <si>
    <t>18/3930/FUL</t>
  </si>
  <si>
    <t>Demolition of existing garage and erection of 1No. 2 storey with habitable roofspace 4 bed dwelling with associated hard and soft landscaping. Alterations to existing crossover and creation of a new crossover in front of No.38 Langham Road to facilitate p</t>
  </si>
  <si>
    <t>38 Langham Road_x000D_Teddington_x000D_TW11 9HQ</t>
  </si>
  <si>
    <t>TW11 9HQ</t>
  </si>
  <si>
    <t>18/3941/GPD15</t>
  </si>
  <si>
    <t>Change of use from office (B1) to three residential units (C3), with associated car parking provision.</t>
  </si>
  <si>
    <t>Sherwood House_x000D_Forest Road_x000D_Kew_x000D_TW9 3BY_x000D_</t>
  </si>
  <si>
    <t>TW9 3BY</t>
  </si>
  <si>
    <t>18/3950/FUL</t>
  </si>
  <si>
    <t>(1) Conversion of the existing health facilities (use class D1) to a mixed-use development providing 71 no. residential apartments (use class C3) and 500 sqm of D1 (Health) floorspace.  _x000D_(2) Restoration, alteration, extensions and demolition (mainly of la</t>
  </si>
  <si>
    <t>Richmond Royal Hospital (Original Block)_x000D_Kew Foot Road_x000D_Richmond_x000D_TW9 2TE_x000D_</t>
  </si>
  <si>
    <t>TW9 2TE</t>
  </si>
  <si>
    <t>18/3952/FUL</t>
  </si>
  <si>
    <t>Replacement of existing dwelling with 1 no. 2 storey with accommodation in the roof (5B10P) dwellinghouse and new pedestrian gate.</t>
  </si>
  <si>
    <t>45 Ormond Crescent_x000D_Hampton_x000D_TW12 2TJ</t>
  </si>
  <si>
    <t>TW12 2TJ</t>
  </si>
  <si>
    <t>18/3954/FUL</t>
  </si>
  <si>
    <t>Demolition of existing two-storey dwelling house and construction of replacement 7-bedroom, 2-storey dwelling house (with accommodation in the roof space) and associated landscaping and new front boundary treatment.</t>
  </si>
  <si>
    <t>20 Sheen Common Drive_x000D_Richmond_x000D_TW10 5BN</t>
  </si>
  <si>
    <t>TW10 5BN</t>
  </si>
  <si>
    <t>18/4125/FUL</t>
  </si>
  <si>
    <t>Alterations and extensions to existing building comprising 1) single storey side/rear extension, 2) new gable roof extension, new window, pitched roof to existing two storey bay window and 1 rooflight to front elevation; 3) dormer roof extension to main r</t>
  </si>
  <si>
    <t>85 Connaught Road_x000D_Teddington_x000D_TW11 0QQ_x000D_</t>
  </si>
  <si>
    <t>TW11 0QQ</t>
  </si>
  <si>
    <t>18/4138/FUL</t>
  </si>
  <si>
    <t>Demolition of existing dwelling and construction of two-storey five-bedroom (10-Person) dwelling with basement and associated landscaping and refuse/recycling and cycle storage.</t>
  </si>
  <si>
    <t>2 West Park Avenue_x000D_Kew_x000D_Richmond_x000D_TW9 4AL_x000D_</t>
  </si>
  <si>
    <t>TW9 4AL</t>
  </si>
  <si>
    <t>18/4183/FUL</t>
  </si>
  <si>
    <t>Demolition of existing garage compound and erection of one detached dwelling with 2 parking spaces, turning area, landscaping and tree planting.</t>
  </si>
  <si>
    <t>Garage Site_x000D_Rosslyn Avenue/Treen Avenue_x000D_Barnes_x000D_London_x000D_SW13 0JT</t>
  </si>
  <si>
    <t>SW13 0JT</t>
  </si>
  <si>
    <t>18/4259/FUL</t>
  </si>
  <si>
    <t>Reversion of existing block of two maisonettes to  single dwelling house, replacement of existing rear dormer with mansard roof and two dormers to rear elevation, addition of green sedum roof to new mansard and replacement of front elevation roof light wi</t>
  </si>
  <si>
    <t>44 Nassau Road_x000D_Barnes_x000D_London_x000D_SW13 9QE_x000D_</t>
  </si>
  <si>
    <t>SW13 9QE</t>
  </si>
  <si>
    <t>19/0092/FUL</t>
  </si>
  <si>
    <t>Single-storey extension and conversion of the existing granny annexe to provide a new 1 bedroom, 2 person dwelling with associated new landscaping.</t>
  </si>
  <si>
    <t>11 Grasmere Avenue_x000D_Whitton_x000D_Hounslow_x000D_TW3 2JG_x000D_</t>
  </si>
  <si>
    <t>TW3 2JG</t>
  </si>
  <si>
    <t>19/0111/FUL</t>
  </si>
  <si>
    <t>Erection of an independent senior living extra care building comprising of 28 units (following demolition of existing care home) at 12 - 14 Station Road, the refurbishment and renovation of Nos.13 and 23 - 33 Lower Teddington Road (including the erection</t>
  </si>
  <si>
    <t>12 To 14 Station Road And 13 And 19 To 33_x000D_Lower Teddington Road_x000D_Hampton Wick_x000D__x000D_</t>
  </si>
  <si>
    <t>KT1</t>
  </si>
  <si>
    <t>19/0141/ES191</t>
  </si>
  <si>
    <t>Continued use of part of the property (excluding Unit 1) as 2No. flats in multiple occupation for upto 6 people.</t>
  </si>
  <si>
    <t>TW1 1QZ</t>
  </si>
  <si>
    <t>19/0171/GPD15</t>
  </si>
  <si>
    <t>Change of use from B1 (Offices) to C3(a) (Dwellings) (2 x 2 bed).</t>
  </si>
  <si>
    <t>62 Glentham Road_x000D_Barnes_x000D_London_x000D_SW13 9JJ_x000D_</t>
  </si>
  <si>
    <t>SW13 9JJ</t>
  </si>
  <si>
    <t>19/0175/FUL</t>
  </si>
  <si>
    <t>Demolition of existing one-bedroom, two-storey dwelling and construction of one-bedroom, one-person single-storey dwelling.</t>
  </si>
  <si>
    <t>The Haven _x000D_Eel Pie Island_x000D_Twickenham_x000D_TW1 3DY</t>
  </si>
  <si>
    <t>TW1 3DY</t>
  </si>
  <si>
    <t>19/0181/GPD15</t>
  </si>
  <si>
    <t>Change of use from B1 (Offices) to C3(a) (Dwellings) (1 x 1 bed).</t>
  </si>
  <si>
    <t>95 South Worple Way_x000D_East Sheen_x000D_London_x000D_SW14 8ND_x000D_</t>
  </si>
  <si>
    <t>19/0228/FUL</t>
  </si>
  <si>
    <t>Division of the existing dwelling house into two residential units in the form of semi detached houses. The demolition of the existing adjoined garage and alterations to fenestration.</t>
  </si>
  <si>
    <t>173 Kew Road_x000D_Richmond_x000D_TW9 2BB</t>
  </si>
  <si>
    <t>TW9 2BB</t>
  </si>
  <si>
    <t>19/0338/FUL</t>
  </si>
  <si>
    <t>Demolition of existing 3-bedroom bungalow and erection of a new 3-bedroom detached house with basement level.</t>
  </si>
  <si>
    <t>48 Fourth Cross Road_x000D_Twickenham_x000D_TW2 5EL</t>
  </si>
  <si>
    <t>TW2 5EL</t>
  </si>
  <si>
    <t>19/0347/GPD15</t>
  </si>
  <si>
    <t>Change of use from B1(a) Office use to C3 Residential use to provide 3 x 1 bed and 1 x 2 bed flats with associated internal refuse and cycle storage.</t>
  </si>
  <si>
    <t>Albion House_x000D_Colne Road_x000D_Twickenham_x000D_TW2 6QL_x000D_</t>
  </si>
  <si>
    <t>TW2 6QL</t>
  </si>
  <si>
    <t>19/0382/FUL</t>
  </si>
  <si>
    <t>Erection of two-storey detached dwellinghouse and basement with sunken courtyard and green wall.  New brick wall and pedestrian gate to Popes Avenue frontage, new parking and hard and soft landscaping.</t>
  </si>
  <si>
    <t>Ajanta _x000D_13 Walpole Gardens_x000D_Twickenham_x000D_TW2 5SL</t>
  </si>
  <si>
    <t>TW2 5SL</t>
  </si>
  <si>
    <t>19/0386/FUL</t>
  </si>
  <si>
    <t>Demolition of the existing self-contained single-storey detached dwelling and construction of replacement 2 storey dwelling with associated landscaping and boundary treatment alteration.</t>
  </si>
  <si>
    <t>10 Constance Road_x000D_Twickenham_x000D_TW2 7JH</t>
  </si>
  <si>
    <t>TW2 7JH</t>
  </si>
  <si>
    <t>19/0391/FUL</t>
  </si>
  <si>
    <t>Demolition all buildings on site and the erection of a three-storey building and a part one, two-storey building comprising (3 x 1 bedroom and 4 x 2 bedroom) flats and approximately 805 sqm of flexible B1/D1 and flexible B1/D2 commercial floorspace, surfa</t>
  </si>
  <si>
    <t>26-28 _x000D_Priests Bridge_x000D_East Sheen_x000D_London_x000D_SW14 8TA</t>
  </si>
  <si>
    <t>SW14 8TA</t>
  </si>
  <si>
    <t>19/0414/FUL</t>
  </si>
  <si>
    <t>Erection of 2No 3-bed, 6-person houses with associated hard and soft landscaping, cycle and refuse stores and car parking on land to rear of 56 and 58 Harvey Road.</t>
  </si>
  <si>
    <t>56 - 58 Harvey Road_x000D_Whitton_x000D__x000D_</t>
  </si>
  <si>
    <t>TW4 5LU</t>
  </si>
  <si>
    <t>19/0475/FUL</t>
  </si>
  <si>
    <t>1 - 2 Archer Mews_x000D_Hampton Hill_x000D_TW12 1RN_x000D_</t>
  </si>
  <si>
    <t>19/0551/FUL</t>
  </si>
  <si>
    <t>Convert 2 flats back to one family house. Proposed pitched side infill extension adjacent neighbouring infill extension with glazed rooflight. Proposed loft conversion with full width rear dormer, partial dormer to outrigger and rooflights.</t>
  </si>
  <si>
    <t>32 Selwyn Avenue_x000D_Richmond_x000D_TW9 2HA_x000D_</t>
  </si>
  <si>
    <t>TW9 2HA</t>
  </si>
  <si>
    <t>19/0739/FUL</t>
  </si>
  <si>
    <t>Reinstatement of Flat 9 on Ground Floor at Clarendon House, as consented in Planning Approval 02/1505. (Since 2003 the accommodation has been used as part of Flat 1 to provide a family-sized flat)</t>
  </si>
  <si>
    <t>Flat 1_x000D_Clarendon Gardens_x000D_23 Kew Gardens Road_x000D_Kew_x000D_Richmond_x000D_TW9 3HD_x000D_</t>
  </si>
  <si>
    <t>TW9 3HD</t>
  </si>
  <si>
    <t>19/0772/GPD15</t>
  </si>
  <si>
    <t>Change of use of B1(a) offices on ground floor level to c3 (Residential) to provide 3 x 1 bed self-contained residential apartments.</t>
  </si>
  <si>
    <t>28 Second Cross Road_x000D_Twickenham_x000D_TW2 5RF_x000D_</t>
  </si>
  <si>
    <t>19/0823/GPD13</t>
  </si>
  <si>
    <t>203 Sandycombe Road_x000D_Richmond_x000D_TW9 2EW_x000D_</t>
  </si>
  <si>
    <t>TW9 2EW</t>
  </si>
  <si>
    <t>19/0847/FUL</t>
  </si>
  <si>
    <t>Demolition of existing bungalow and garage and construction of a new two-storey four bedroom house, with associated hard and soft landscaping, cycle and refuse stores and parking.</t>
  </si>
  <si>
    <t>8 St Albans Gardens_x000D_Teddington_x000D_TW11 8AE</t>
  </si>
  <si>
    <t>TW11 8AE</t>
  </si>
  <si>
    <t>19/0867/FUL</t>
  </si>
  <si>
    <t>Conversion of ground and first floor store rooms and single-storey extension to form a new maisonette.</t>
  </si>
  <si>
    <t>383 St Margarets Road_x000D_Twickenham_x000D_TW1 1PP</t>
  </si>
  <si>
    <t>TW1 1PP</t>
  </si>
  <si>
    <t>19/0893/FUL</t>
  </si>
  <si>
    <t>Change of use of ground floor from dental surgery (D1 use class) to 1 no. residential dwelling (C3 use), demolition of side garage, alterations to side extension and fenestration.</t>
  </si>
  <si>
    <t>320 Kew Road_x000D_Kew_x000D_Richmond_x000D_TW9 3DU_x000D_</t>
  </si>
  <si>
    <t>19/0911/FUL</t>
  </si>
  <si>
    <t>Proposed construction of additional floor level to create 2 no. additional two bed flats, together with a three storey side extension in the form of a bay window, change to existing fenestration and addition of 8 no. balconies at first and second floor le</t>
  </si>
  <si>
    <t>KT2 4HF</t>
  </si>
  <si>
    <t>19/0950/FUL</t>
  </si>
  <si>
    <t>Change of use of first, second and part ground floors from retail and associated storage to a 1 bedroom flat, together with internal alterations and installation of a new door to ground floor side elevation (to front side alleyway).</t>
  </si>
  <si>
    <t>11 Paved Court_x000D_Richmond_x000D_TW9 1LZ</t>
  </si>
  <si>
    <t>TW9 1LZ</t>
  </si>
  <si>
    <t>19/0954/VRC</t>
  </si>
  <si>
    <t>Minor material amendment to application ref 16/3290/FUL (Partial demolition of an existing building and the creation of 3 new dwelling houses and associated works) by variation of appeal decision condition 2 (approved drawing numbers) to allow for externa</t>
  </si>
  <si>
    <t>45 The Vineyard_x000D_Richmond_x000D_TW10 6AS_x000D_</t>
  </si>
  <si>
    <t>TW10 6AS</t>
  </si>
  <si>
    <t>19/0974/FUL</t>
  </si>
  <si>
    <t>Two-storey side/rear extension with accommodation in the roof, removal of external staircase to facilitate the conversion of existing dwellinghouse into 7 self-contained flats (4 x 1 bed and 3 x 2 bed) and associated cycle and refuse stores.</t>
  </si>
  <si>
    <t>Fairlight_x000D_4 Church Grove_x000D_Hampton Wick_x000D_Kingston Upon Thames_x000D_KT1 4AL_x000D_</t>
  </si>
  <si>
    <t>19/1029/FUL</t>
  </si>
  <si>
    <t>Demolition of existing single-storey side garage and workroom. Alterations to no. 67 comprising single storey rear extension, replacement roof, rear dormer roof extension and 2 no. rooflight on front roof slope. Erection of a new two-storey 4 bedroom dwel</t>
  </si>
  <si>
    <t>67 Park Road_x000D_Hampton Hill_x000D_TW12 1HU</t>
  </si>
  <si>
    <t>TW12 1HU</t>
  </si>
  <si>
    <t>19/1033/GPD23</t>
  </si>
  <si>
    <t>Unit 1 Hampton Works Rear Of_x000D_119 Sheen Lane_x000D_East Sheen_x000D_London_x000D__x000D_</t>
  </si>
  <si>
    <t>19/1098/FUL</t>
  </si>
  <si>
    <t>Demolition of detached house, construction of four classrooms and a multi use hall complete with change of use from residential to education.</t>
  </si>
  <si>
    <t>190 Sheen Lane_x000D_East Sheen_x000D_London_x000D_SW14 8LF_x000D_</t>
  </si>
  <si>
    <t>SW14 8LF</t>
  </si>
  <si>
    <t>19/1100/FUL</t>
  </si>
  <si>
    <t>Change of use of rear part of upper ground floor to C3 (residential) to create 1 no. 1B1P flat, alterations to the front elevation, and minor internal changes to the lower ground floor associated with the commercial unit.</t>
  </si>
  <si>
    <t>208 - 212 Amyand Park Road_x000D_Twickenham_x000D_TW1 3HY_x000D__x000D__x000D_</t>
  </si>
  <si>
    <t>19/1162/FUL</t>
  </si>
  <si>
    <t>Part change of use of ground floor and rear garden from A1 to C3 (residential use) and replacement window on ground floor rear elevation to facilitate the conversion of existing 1 x 3 bed flat into 2 x 2 bed flats and associated cycle and refuse stores (R</t>
  </si>
  <si>
    <t>82 - 84 Hill Rise_x000D_Richmond_x000D__x000D_</t>
  </si>
  <si>
    <t>TW10 6UB</t>
  </si>
  <si>
    <t>19/1217/ES191</t>
  </si>
  <si>
    <t>Establish use of property as a separate self-contained dwellinghouse</t>
  </si>
  <si>
    <t>1A Riverside House_x000D_Riverside_x000D_Twickenham_x000D_TW1 3DJ_x000D_</t>
  </si>
  <si>
    <t>TW1 3DJ</t>
  </si>
  <si>
    <t>19/1219/FUL</t>
  </si>
  <si>
    <t>Replacement 2 storey 4 bedroom dwellinghouse with basement level and accommodation in the roof.  Associated hard and soft landscaping, cycle and refuse stores and parking.</t>
  </si>
  <si>
    <t>21 Sunbury Avenue_x000D_East Sheen_x000D_London_x000D_SW14 8RA</t>
  </si>
  <si>
    <t>SW14 8RA</t>
  </si>
  <si>
    <t>19/1332/GPD13</t>
  </si>
  <si>
    <t>Change of use of the ground floor unit from A1 (hairdresser) to C3 (residential) to provide a 1 bed flat.</t>
  </si>
  <si>
    <t>70 Hounslow Road_x000D_Twickenham_x000D_TW2 7EX_x000D_</t>
  </si>
  <si>
    <t>TW2 7EX</t>
  </si>
  <si>
    <t>19/1361/FUL</t>
  </si>
  <si>
    <t>Extension of 4-bedroom single family dwelling house and conversion to divide into 2No. 2-bedroom houses.</t>
  </si>
  <si>
    <t>TW2 5LQ</t>
  </si>
  <si>
    <t>19/1455/FUL</t>
  </si>
  <si>
    <t>Create 2 No. flats from existing dwelling . Ground floor 2 bed flat, first &amp; 2nd floor 2 bed flat.</t>
  </si>
  <si>
    <t>29 St Leonards Road_x000D_East Sheen_x000D_London_x000D_SW14 7LY_x000D_</t>
  </si>
  <si>
    <t>19/1502/FUL</t>
  </si>
  <si>
    <t>Use of rear part of ground floor shop and single storey rear infill extension as extension to existing first floor flat and replacement of external staircase with spiral staircase.</t>
  </si>
  <si>
    <t>56A White Hart Lane_x000D_Barnes_x000D_London_x000D_SW13 0PZ</t>
  </si>
  <si>
    <t>19/1602/GPD15</t>
  </si>
  <si>
    <t>Change of use from B1(a) (office) to C3 (residential) to provide 1 x 1 bed self-contained residential dwelling.</t>
  </si>
  <si>
    <t>106 Shacklegate Lane_x000D_Teddington_x000D_TW11 8SH_x000D_</t>
  </si>
  <si>
    <t>19/1620/GPD15</t>
  </si>
  <si>
    <t>Conversion of basement from B1(a) office to C3 residential to provide 2 x 1 bed self-contained residential flats.</t>
  </si>
  <si>
    <t>Argyle House_x000D_1 Dee Road_x000D_Richmond_x000D__x000D_</t>
  </si>
  <si>
    <t>TW9 2JW</t>
  </si>
  <si>
    <t>19/1622/FUL</t>
  </si>
  <si>
    <t>New rear second floor addition, alterations to the existing roof to facilitate the conversion of 1 bedroom flat into 1 x 2 bed duplex flat with a study and 1 x 2 bed duplex flat.   Formation of an extended car park area to rear comprising 5 car spaces, cy</t>
  </si>
  <si>
    <t>28 Second Cross Road_x000D_Twickenham_x000D_TW2 5RF</t>
  </si>
  <si>
    <t>19/1649/GPD15</t>
  </si>
  <si>
    <t>Conversion of B1(a) office unit at rear ground floor to C3 residential to provide 1 self-contained residential flat. (Proposal description corrected).</t>
  </si>
  <si>
    <t>57B York Street_x000D_Twickenham_x000D_TW1 3LP_x000D_</t>
  </si>
  <si>
    <t>TW1 3LP</t>
  </si>
  <si>
    <t>19/1669/FUL</t>
  </si>
  <si>
    <t>Change of use of lower ground floor from retail (A1) to residential (C3) followed by amalgamation of lower ground floor with upper maisonette.  Upper and lower ground floor rear extension, formation of roof terrace, alterations to front entrance, replacem</t>
  </si>
  <si>
    <t>Lower Ground Floor And_x000D_49B Petersham Road_x000D_Richmond_x000D__x000D_</t>
  </si>
  <si>
    <t>TW10 6UH</t>
  </si>
  <si>
    <t>19/1703/FUL</t>
  </si>
  <si>
    <t>Internal alterations to provide accessible accommodation at the ground floor level of live/work unit. Employment use as printers/graphic design business to be retained. Partial demolition of part of ground floor extension to provide courtyard garden.</t>
  </si>
  <si>
    <t>216 Hampton Road_x000D_Twickenham_x000D_TW2 5NJ</t>
  </si>
  <si>
    <t>TW2 5NJ</t>
  </si>
  <si>
    <t>19/1731/FUL</t>
  </si>
  <si>
    <t>Demolition of existing dwellinghouse and erection of replacement two storey 4 bedroom dwellinghouse with associated hard and soft landscaping and cycle and refuse store. Replacement boundary fence/gates.</t>
  </si>
  <si>
    <t>TW1 4PD</t>
  </si>
  <si>
    <t>19/1759/FUL</t>
  </si>
  <si>
    <t>Single-storey rear extension, roof extensions and alterations to front and rear, extension to second floor of rear addition, elevation/fenestration alterations and new boundary treatment to allow for the change of use from 2 to 5 flats.</t>
  </si>
  <si>
    <t>19/1763/FUL</t>
  </si>
  <si>
    <t>Demolition of existing residential garages and erection of 2x four bed semi-detached houses (Use Class C3), associated amenity space, landscaping, car and cycle parking and refuse storage.</t>
  </si>
  <si>
    <t>Garages At_x000D_Craneford Way_x000D_Twickenham_x000D__x000D_</t>
  </si>
  <si>
    <t>TW2 7SQ</t>
  </si>
  <si>
    <t>19/1895/FUL</t>
  </si>
  <si>
    <t>Single storey rear extension to rear of shop (to create additional A1 (retail) floorspace).  Rear dormer roof extension to existing upper floor maisonette.  Provision of 2 no. parking spaces to rear.</t>
  </si>
  <si>
    <t>321 Richmond Road_x000D_Kingston Upon Thames_x000D_KT2 5QU</t>
  </si>
  <si>
    <t>KT2 5QU</t>
  </si>
  <si>
    <t>19/1978/FUL</t>
  </si>
  <si>
    <t>Externals working comprising proposed full width rear extension across the lower and upper ground floors with lowering of garden levels to create a new terrace area to the rear, creation of a lightwell on the front elevation for access to new pair of Fren</t>
  </si>
  <si>
    <t>14 Marlborough Road_x000D_Richmond_x000D_TW10 6JR</t>
  </si>
  <si>
    <t>TW10 6JR</t>
  </si>
  <si>
    <t>19/1997/GPD23</t>
  </si>
  <si>
    <t>Change of use of property from B1(c) light industrial use to C3 residential (1x2 bedroom house)</t>
  </si>
  <si>
    <t>1A - 3A Holly Road_x000D_Hampton Hill_x000D_Hampton_x000D_TW12 1QF_x000D_</t>
  </si>
  <si>
    <t>TW12 1QF</t>
  </si>
  <si>
    <t>19/2022/ES191</t>
  </si>
  <si>
    <t>Certificate of Lawfulness to establish the operational development of the building as a single family dwellinghouse</t>
  </si>
  <si>
    <t>4 St Albans Gardens_x000D_Teddington_x000D_TW11 8AE</t>
  </si>
  <si>
    <t>19/2102/FUL</t>
  </si>
  <si>
    <t>Rear extension at second floor level to form a new studio flat.</t>
  </si>
  <si>
    <t>Tabard House_x000D_22 Upper Teddington Road_x000D_Hampton Wick_x000D_KT1 4DT_x000D_</t>
  </si>
  <si>
    <t>KT1 4DT</t>
  </si>
  <si>
    <t>19/2246/FUL</t>
  </si>
  <si>
    <t>Application for the conversion of apartments 18 and 19 to form 1no. four bedroom apartment at sixth floor level in block B2.</t>
  </si>
  <si>
    <t>Teddington Riverside Development Site_x000D_Broom Road_x000D_Teddington_x000D__x000D_</t>
  </si>
  <si>
    <t>TW11 9BE</t>
  </si>
  <si>
    <t>19/2273/FUL</t>
  </si>
  <si>
    <t>Removal of static caravan.  Conversion of the ground floor area to left of barn entrance into a self-contained residence ancillary to the stables.  New toilet facility with disabled provision within stables.</t>
  </si>
  <si>
    <t>Old Farm Stables Flat_x000D_Oak Avenue_x000D_Hampton_x000D_TW12 3QD_x000D_</t>
  </si>
  <si>
    <t>TW12 3QD</t>
  </si>
  <si>
    <t>19/2300/FUL</t>
  </si>
  <si>
    <t>Part change of use of ground floor from A3 to C3 (Residential) and alterations to existing shopfront to create new access door to facilitate the conversion of existing 2 x 3 bed maisonettes into 7 No. self-contained Studio and 1 bed Flats.  Single Storey</t>
  </si>
  <si>
    <t>102 - 104 Kew Road_x000D_Richmond_x000D_TW9 2PQ_x000D_</t>
  </si>
  <si>
    <t>TW9 2PQ</t>
  </si>
  <si>
    <t>19/2377/GPD15</t>
  </si>
  <si>
    <t>Partial change of use from office to residential (4 No flats).</t>
  </si>
  <si>
    <t>122 - 124 St Margarets Road_x000D_Twickenham_x000D__x000D_</t>
  </si>
  <si>
    <t>TW1 2LH</t>
  </si>
  <si>
    <t>19/2544/FUL</t>
  </si>
  <si>
    <t>Change of use to 114 Hanworth Road from residential use (C3) to educational use (D1) for use as additional education faclity for Hampton School wth parking to rear</t>
  </si>
  <si>
    <t>114 Hanworth Road_x000D_Hampton_x000D_TW12 3EZ_x000D_</t>
  </si>
  <si>
    <t>TW12 3EZ</t>
  </si>
  <si>
    <t>19/2788/FUL</t>
  </si>
  <si>
    <t>Roof extension to provide additional residential accommodation to Number 5 South Avenue and creation of 1 no. self-contained 1 bedroom flat above no. 2 and provision of associated cycle parking.</t>
  </si>
  <si>
    <t>2A And 5_x000D_South Avenue_x000D_Kew_x000D__x000D_</t>
  </si>
  <si>
    <t>TW9 3EL</t>
  </si>
  <si>
    <t>19/2796/GPD15</t>
  </si>
  <si>
    <t>Change of use of the ground and basement from B1(a) office use, to Class C3 (dwellinghouse) as a single self-contained 3 bedroom flat.</t>
  </si>
  <si>
    <t>115 White Hart Lane_x000D_Barnes_x000D_London_x000D_SW13 0JL_x000D_</t>
  </si>
  <si>
    <t>19/3025/FUL</t>
  </si>
  <si>
    <t>Change of use of all units from Class C3 (residential) to flexible uses Class C1 (serviced accommodation) and Class C3 (residential).</t>
  </si>
  <si>
    <t>Jasmine Studios _x000D_8 Oak Lane_x000D_Twickenham_x000D_TW1 3PA</t>
  </si>
  <si>
    <t>TW1 3PA</t>
  </si>
  <si>
    <t>19/3101/GPD23</t>
  </si>
  <si>
    <t>Change of Use of existing B1(c) light industrial unit to residential C3 providing 1No. 2 Bed dwelling.</t>
  </si>
  <si>
    <t>Unit 4_x000D_Princes Works_x000D_Princes Road_x000D_Teddington_x000D_TW11 0RW_x000D_</t>
  </si>
  <si>
    <t>TW11 0RW</t>
  </si>
  <si>
    <t>19/3241/FUL</t>
  </si>
  <si>
    <t>Extension of the garage to facilitate the creation of 1 x 1 bed dwelling.</t>
  </si>
  <si>
    <t>Land Adjacent To_x000D_29 Rivermeads Avenue_x000D_Twickenham_x000D__x000D_</t>
  </si>
  <si>
    <t>19/3419/FUL</t>
  </si>
  <si>
    <t>Demolition of existing dwellinghouse and erection of detached two storey dwellinghouse, associated hard and soft landscaping</t>
  </si>
  <si>
    <t>8 Sandy Lane_x000D_Petersham_x000D_Richmond_x000D_TW10 7EN_x000D_</t>
  </si>
  <si>
    <t>TW10 7EN</t>
  </si>
  <si>
    <t>19/3586/ES191</t>
  </si>
  <si>
    <t>Lawful development certificate for the existing use of the dwelling as a 6no. bedroom house in multiple occupation</t>
  </si>
  <si>
    <t>29 Heathside_x000D_Whitton_x000D_Hounslow_x000D_TW4 5NJ_x000D_</t>
  </si>
  <si>
    <t>TW4 5NJ</t>
  </si>
  <si>
    <t>19/3757/ES191</t>
  </si>
  <si>
    <t>Use of 2B Orleans Road as a separate and self-contained C3 dwellinghouse.</t>
  </si>
  <si>
    <t>2B Orleans Road_x000D_Twickenham_x000D_TW1 3BL</t>
  </si>
  <si>
    <t>TW1 3BL</t>
  </si>
  <si>
    <t>19/3852/GPD15</t>
  </si>
  <si>
    <t>Change of use of ground floor from B1a office to C3 (Residential) use comprising 1x studio flat and 1x 1 bedroom flat</t>
  </si>
  <si>
    <t>59 North Worple Way_x000D_Mortlake_x000D_London_x000D__x000D_</t>
  </si>
  <si>
    <t>SW14 8HE</t>
  </si>
  <si>
    <t>19/3854/ES191</t>
  </si>
  <si>
    <t>Use of Flat 1 (basement) as  C3 residential.</t>
  </si>
  <si>
    <t>Flat 1_x000D_Heron Court_x000D_3 - 5 High Street_x000D_Hampton_x000D_TW12 2SQ_x000D_</t>
  </si>
  <si>
    <t>TW12 2SQ</t>
  </si>
  <si>
    <t>19/3913/GPD15</t>
  </si>
  <si>
    <t>Change of use from office (B1A )to residential  (C3) to create 2x 1 bedroom flats</t>
  </si>
  <si>
    <t>2A Talbot Road_x000D_Isleworth_x000D_TW7 7HH_x000D_</t>
  </si>
  <si>
    <t>TW7 7HH</t>
  </si>
  <si>
    <t>20/0136/FUL</t>
  </si>
  <si>
    <t>Demolition of the existing house and reconstruction of replacement 2 storey with basement and accommodation in the roof single family home and associated parking, hard and soft landscaping.</t>
  </si>
  <si>
    <t>2 Belgrave Road_x000D_Barnes_x000D_London_x000D_SW13 9NS</t>
  </si>
  <si>
    <t>SW13 9NS</t>
  </si>
  <si>
    <t>20/0373/PS192</t>
  </si>
  <si>
    <t>Change of use of part ground and upper floors from A2 (Financial Services) use class into C3 (Residential).</t>
  </si>
  <si>
    <t>347 Upper Richmond Road West_x000D_East Sheen_x000D_London_x000D_SW14 8RH</t>
  </si>
  <si>
    <t>SW14 8RH</t>
  </si>
  <si>
    <t>99/2063</t>
  </si>
  <si>
    <t>6 Boileau Road Barnes</t>
  </si>
  <si>
    <t>01. Completion</t>
  </si>
  <si>
    <t>03. Not Started</t>
  </si>
  <si>
    <t>02. Under Construction</t>
  </si>
  <si>
    <t>Grand Total</t>
  </si>
  <si>
    <t xml:space="preserve">Unit 3 Plough Lane Teddington
</t>
  </si>
  <si>
    <t>Change of use from premises in light industrial use (Class B1(c)) to one dwelling house (Class C3).</t>
  </si>
  <si>
    <t>Change of use of ground floor office from B1(a) (Office) to C3 (residential) use to provide 1 no. 1 bed dwelling unit</t>
  </si>
  <si>
    <t>Conversion of commercial unit to self-contained 2no. bedroom unit</t>
  </si>
  <si>
    <t xml:space="preserve">7 - 11 Broom Road, Teddington Studios, Broom Road, Teddington
</t>
  </si>
  <si>
    <t xml:space="preserve">Haymarket House, Teddington Studios, Broom Road, Teddington
</t>
  </si>
  <si>
    <t>1 - 94 Camera House, (5 Pinewood Gardens), Teddington Studios, Broom Road, Teddington</t>
  </si>
  <si>
    <t>Land Junction Of North Worple Way And Wrights Walk Rear Of 31 Alder Road, Mortlake</t>
  </si>
  <si>
    <t>2F Fifth Cross Road
Twickenham
TW2 5LQ</t>
  </si>
  <si>
    <t xml:space="preserve">Land To Rear Of 34 - 40 The Quadrant Richmond
</t>
  </si>
  <si>
    <t xml:space="preserve">12 - 14 Church Lane Teddington
</t>
  </si>
  <si>
    <t>SITE B: The site is currently an open parking court of approximately 28 spaces accessed from Bucklands Road. Create a pair of semi-detached high quality four-bedroom houses.
-Provision of 24 car parking spaces</t>
  </si>
  <si>
    <t>1 - 13 Ecko House &amp;  Flats 1 - 3, 13 Broom Road, Teddington Studios, Broom Road, Teddington</t>
  </si>
  <si>
    <t xml:space="preserve">Wick House, 10 Station Road, Hampton Wick, KT1 4HF
</t>
  </si>
  <si>
    <t xml:space="preserve">17 The Green, Richmond, TW9 1PX
</t>
  </si>
  <si>
    <t>Table 1</t>
  </si>
  <si>
    <t>Performance against London Plan (July 2011) target (2011 to 2021)</t>
  </si>
  <si>
    <t>Additional Homes (net)</t>
  </si>
  <si>
    <t>London Plan Target</t>
  </si>
  <si>
    <t>Total</t>
  </si>
  <si>
    <t>% of Target</t>
  </si>
  <si>
    <t>2011/12</t>
  </si>
  <si>
    <t>2012/13</t>
  </si>
  <si>
    <t>2013/14</t>
  </si>
  <si>
    <t>2014/15</t>
  </si>
  <si>
    <t>2015/16</t>
  </si>
  <si>
    <t>2016/17</t>
  </si>
  <si>
    <t>2017/18</t>
  </si>
  <si>
    <t>2018/19</t>
  </si>
  <si>
    <t>Conventional Supply</t>
  </si>
  <si>
    <t>Performance against Further Alterations to the London Plan (2015) target (2015 to 2025)</t>
  </si>
  <si>
    <t>a</t>
  </si>
  <si>
    <t>London Plan (FALP) Requirement 1 April 2015 to 31 March 2025 (10 year plan period)</t>
  </si>
  <si>
    <t>b</t>
  </si>
  <si>
    <t>c</t>
  </si>
  <si>
    <t>a - b</t>
  </si>
  <si>
    <t>d</t>
  </si>
  <si>
    <t>Average per year</t>
  </si>
  <si>
    <t>e</t>
  </si>
  <si>
    <t>Five year requirement</t>
  </si>
  <si>
    <t>d x 5</t>
  </si>
  <si>
    <t>f</t>
  </si>
  <si>
    <t>Five percent buffer</t>
  </si>
  <si>
    <t>e x 0.05</t>
  </si>
  <si>
    <t>g</t>
  </si>
  <si>
    <t>Total five year requirement (including 5% buffer)</t>
  </si>
  <si>
    <t>e + f</t>
  </si>
  <si>
    <t>h</t>
  </si>
  <si>
    <t>Estimated supply over five year period</t>
  </si>
  <si>
    <t>i</t>
  </si>
  <si>
    <t>(h ÷ e) x 100</t>
  </si>
  <si>
    <t>j</t>
  </si>
  <si>
    <t>h ÷ d</t>
  </si>
  <si>
    <t>Site Type</t>
  </si>
  <si>
    <t>Total used for 5-year supply</t>
  </si>
  <si>
    <t>New Build under construction</t>
  </si>
  <si>
    <t>New Build Sites with planning permission</t>
  </si>
  <si>
    <t>Conversion sites under construction</t>
  </si>
  <si>
    <t>Conversion sites with planning permission</t>
  </si>
  <si>
    <t>Conversion sites with prior notification approval</t>
  </si>
  <si>
    <t>Total 5 year supply</t>
  </si>
  <si>
    <t>Table 2</t>
  </si>
  <si>
    <t>Housing Capacity</t>
  </si>
  <si>
    <t>New Build</t>
  </si>
  <si>
    <t>Conversions</t>
  </si>
  <si>
    <t xml:space="preserve">Gross </t>
  </si>
  <si>
    <t>Net</t>
  </si>
  <si>
    <t>Under Construction</t>
  </si>
  <si>
    <t>Planning Permissions</t>
  </si>
  <si>
    <t>Table 3</t>
  </si>
  <si>
    <t>Open Market</t>
  </si>
  <si>
    <t>Intermediate</t>
  </si>
  <si>
    <t>Table 4</t>
  </si>
  <si>
    <t>Table 5</t>
  </si>
  <si>
    <t>Year</t>
  </si>
  <si>
    <t>2001/02</t>
  </si>
  <si>
    <t>2002/03</t>
  </si>
  <si>
    <t>2003/04</t>
  </si>
  <si>
    <t>2004/05</t>
  </si>
  <si>
    <t>2005/06</t>
  </si>
  <si>
    <t>2006/07</t>
  </si>
  <si>
    <t>2007/08</t>
  </si>
  <si>
    <t>2008/09</t>
  </si>
  <si>
    <t>2009/10</t>
  </si>
  <si>
    <t>2010/11</t>
  </si>
  <si>
    <t>Table 6</t>
  </si>
  <si>
    <t>Completions</t>
  </si>
  <si>
    <t xml:space="preserve"> Open Market</t>
  </si>
  <si>
    <t xml:space="preserve"> Affordable</t>
  </si>
  <si>
    <t>Table 8</t>
  </si>
  <si>
    <t>Total 
Units</t>
  </si>
  <si>
    <t>Units</t>
  </si>
  <si>
    <t>%</t>
  </si>
  <si>
    <t>Site Status</t>
  </si>
  <si>
    <t>Sum of Net Dwellings</t>
  </si>
  <si>
    <t>Development Category</t>
  </si>
  <si>
    <t>(Multiple Items)</t>
  </si>
  <si>
    <t>Application Type</t>
  </si>
  <si>
    <t>(blank)</t>
  </si>
  <si>
    <t>(All)</t>
  </si>
  <si>
    <t>PA</t>
  </si>
  <si>
    <t>New Build Completions Net</t>
  </si>
  <si>
    <t>New Build Under Construction Net</t>
  </si>
  <si>
    <t>New Build Not Started Net</t>
  </si>
  <si>
    <t>Tenure</t>
  </si>
  <si>
    <t>Sum of Units Proposed</t>
  </si>
  <si>
    <t>Conversions Completions Net</t>
  </si>
  <si>
    <t>Conversions Under Construction Net</t>
  </si>
  <si>
    <t>Conversions Not Started Net</t>
  </si>
  <si>
    <t>Net Completions Intermediate</t>
  </si>
  <si>
    <t>Not Started Intermediate</t>
  </si>
  <si>
    <t>Net Completions Affordable Rent</t>
  </si>
  <si>
    <t>Affordable Rent</t>
  </si>
  <si>
    <t>Net Completions Open Market</t>
  </si>
  <si>
    <t>New Build Completions Open Market Net</t>
  </si>
  <si>
    <t>New Build Under Construction Open Market Net</t>
  </si>
  <si>
    <t>New Build Not Started Open Market Net</t>
  </si>
  <si>
    <t>New Build Completions Open Market Gross</t>
  </si>
  <si>
    <t>New Build Under Construction Open Market Gross</t>
  </si>
  <si>
    <t>New Build Not Started Open Market Gross</t>
  </si>
  <si>
    <t>New Build Completions Intermediate Net</t>
  </si>
  <si>
    <t>New Build Under Construction Intermediate Net</t>
  </si>
  <si>
    <t>New Build Not Started Intermediate Net</t>
  </si>
  <si>
    <t>New Build Completions Intermediate Gross</t>
  </si>
  <si>
    <t>New Build Under Construction Intermediate Gross</t>
  </si>
  <si>
    <t>New Build Not Started Intermediate Gross</t>
  </si>
  <si>
    <t>New Build Completions Affordable Rent Net</t>
  </si>
  <si>
    <t>New Build Under Construction Affordable Rent Net</t>
  </si>
  <si>
    <t>New Build Not Started Affordable Rent Net</t>
  </si>
  <si>
    <t>New Build Completions Affordable Rent Gross</t>
  </si>
  <si>
    <t>New Build Under Construction Affordable Rent Gross</t>
  </si>
  <si>
    <t>New Build Not Started Affordable Rent Gross</t>
  </si>
  <si>
    <t>Social Rent</t>
  </si>
  <si>
    <t xml:space="preserve">16 Elmtree Road Teddington
</t>
  </si>
  <si>
    <t>2019/20</t>
  </si>
  <si>
    <t>Land Adjacent To 93 Elm Bank Gardens Barnes</t>
  </si>
  <si>
    <t xml:space="preserve">Provision (90% of plan period)   </t>
  </si>
  <si>
    <t xml:space="preserve">Provision 
(50% of plan period)   </t>
  </si>
  <si>
    <t xml:space="preserve">1E Colonial Avenue Twickenham TW2 7EE
</t>
  </si>
  <si>
    <t>Remaining London Plan Requirement 31 March 2020 to 31 March 2025 (5 year plan period)</t>
  </si>
  <si>
    <t>c ÷ 5 years</t>
  </si>
  <si>
    <t>Change of use of part front ground floor A5(hot food takeaways) use to C3(residential) use to facilitate the conversion of existing 3 bed maisonette above shop into 2 x 2 bed (2B3P) flats. Change of use of part rear ground floor rear from A5(retail) to C</t>
  </si>
  <si>
    <t>2019/20 ( R)</t>
  </si>
  <si>
    <t>Net completions 1 April 2015 to 31 March 2020</t>
  </si>
  <si>
    <t xml:space="preserve">34 And 36 Taylor Close And 177 High Street Hampton Hill
</t>
  </si>
  <si>
    <t>Planning Ref</t>
  </si>
  <si>
    <t>Decision Date</t>
  </si>
  <si>
    <t>Expiry Date</t>
  </si>
  <si>
    <t>Start Date</t>
  </si>
  <si>
    <t>Completion Date</t>
  </si>
  <si>
    <t>Small Sites Trend</t>
  </si>
  <si>
    <t>Barnes Hospital</t>
  </si>
  <si>
    <t>05. Deliverable Sites</t>
  </si>
  <si>
    <t>Completed 2019/20</t>
  </si>
  <si>
    <t>Units Existing</t>
  </si>
  <si>
    <t>Units Proposed</t>
  </si>
  <si>
    <t>Net Dwellings</t>
  </si>
  <si>
    <t>Deliverable Sites</t>
  </si>
  <si>
    <t>Housing land capacity at 1st April 2020</t>
  </si>
  <si>
    <t>Gross Completions Open Market</t>
  </si>
  <si>
    <t>Gross Completions Affordable Rent</t>
  </si>
  <si>
    <t>Gross Completions Intermediate</t>
  </si>
  <si>
    <t>Net Under Construction Intermediate</t>
  </si>
  <si>
    <t>Gross Under Construction Intermediate</t>
  </si>
  <si>
    <t>Net Under Construction Open Market</t>
  </si>
  <si>
    <t>Gross Under Construction Open Market</t>
  </si>
  <si>
    <t>Table 2 - New build / conversions</t>
  </si>
  <si>
    <t>Net Under Construction Affordable Rent</t>
  </si>
  <si>
    <t>Net Not Started Affordable Rent</t>
  </si>
  <si>
    <t>Net Not Started Open Market</t>
  </si>
  <si>
    <t>Gross Not Started Intermediate</t>
  </si>
  <si>
    <t>Gross Under Construction Affordable Rent</t>
  </si>
  <si>
    <t>Gross Not Started Affordable Rent</t>
  </si>
  <si>
    <t>Gross Not Started Open Market</t>
  </si>
  <si>
    <t>Net NB Completions</t>
  </si>
  <si>
    <t>Net NB Under Construction</t>
  </si>
  <si>
    <t>Net NB Not Started</t>
  </si>
  <si>
    <t>Gross NB Completions</t>
  </si>
  <si>
    <t>Gross NB Under Construction</t>
  </si>
  <si>
    <t>Gross NB Not Started</t>
  </si>
  <si>
    <t>Net Conversion Completions</t>
  </si>
  <si>
    <t>Net Conversion Under Construction</t>
  </si>
  <si>
    <t>Net Conversions Not Started</t>
  </si>
  <si>
    <t>Gross Conversions Completions</t>
  </si>
  <si>
    <t>Gross Conversions Under Construction</t>
  </si>
  <si>
    <t>Gross Conversions Not Started</t>
  </si>
  <si>
    <t>Net completions by tenure and financial year (2005/06 to 2019/20)</t>
  </si>
  <si>
    <t>New Build Completions Other Gross</t>
  </si>
  <si>
    <t>5 Year Average</t>
  </si>
  <si>
    <t>1 bed net</t>
  </si>
  <si>
    <t>2 bed net</t>
  </si>
  <si>
    <t>3 bed net</t>
  </si>
  <si>
    <t>4 bed net</t>
  </si>
  <si>
    <t>5 bed net</t>
  </si>
  <si>
    <t>6 bed net</t>
  </si>
  <si>
    <t>7 bed net</t>
  </si>
  <si>
    <t>9 bed net</t>
  </si>
  <si>
    <t>5YHLS</t>
  </si>
  <si>
    <t>18/3642/OUT</t>
  </si>
  <si>
    <t xml:space="preserve">19/3616/FUL </t>
  </si>
  <si>
    <t>Old Station Forecourt</t>
  </si>
  <si>
    <t>SELECT SITES</t>
  </si>
  <si>
    <t>18/3310/FUL</t>
  </si>
  <si>
    <t>Kew Biothane Plant</t>
  </si>
  <si>
    <t>18/0547/FUL</t>
  </si>
  <si>
    <t>Stag Brewery</t>
  </si>
  <si>
    <t>Five year land supply as a percentage of requirement (including 5% buffer)</t>
  </si>
  <si>
    <t>Table 7</t>
  </si>
  <si>
    <t xml:space="preserve">St Michaels Convent, 56 Ham Common, Ham, Richmond, TW10 7JH
</t>
  </si>
  <si>
    <t>The Stag Brewery Lower Richmond Road Mortlake London SW14 7ET</t>
  </si>
  <si>
    <t xml:space="preserve">Kew Biothane Plant, Melliss Avenue, Kew
</t>
  </si>
  <si>
    <t>Barnes Hospital, South Worple Way, East Sheen, SW14 8SU</t>
  </si>
  <si>
    <t>Old Station Forecourt, Railway Approach, Twickenham, TW1 4LJ</t>
  </si>
  <si>
    <t>Easting</t>
  </si>
  <si>
    <t>Northing</t>
  </si>
  <si>
    <t>Ward</t>
  </si>
  <si>
    <t>Open Market / Affordable</t>
  </si>
  <si>
    <t>N/A</t>
  </si>
  <si>
    <t>Five year housing land supply calculation methodology</t>
  </si>
  <si>
    <t>2020/21 (1)</t>
  </si>
  <si>
    <t>2021/22 (2)</t>
  </si>
  <si>
    <t>2022/23 (3)</t>
  </si>
  <si>
    <t>2023/24 (4)</t>
  </si>
  <si>
    <t>2024/25 (5)</t>
  </si>
  <si>
    <t>c ÷ 9 years</t>
  </si>
  <si>
    <t>Remaining London Plan Requirement (9 year plan period)</t>
  </si>
  <si>
    <t>Five year land supply expressed in years</t>
  </si>
  <si>
    <t>19/0510/FUL</t>
  </si>
  <si>
    <t>Homebase 84 Manor Road Richmond TW9 1YB</t>
  </si>
  <si>
    <t>20/0539/FUL</t>
  </si>
  <si>
    <t>The Strathmore Centre Strathmore Road Teddington TW11 8UH</t>
  </si>
  <si>
    <t>Homebase Manor Road Richmond</t>
  </si>
  <si>
    <t>The Strathmore Centre</t>
  </si>
  <si>
    <t>Site Allocation</t>
  </si>
  <si>
    <t>Kneller Hall</t>
  </si>
  <si>
    <t>16/2822/FUL</t>
  </si>
  <si>
    <t>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t>
  </si>
  <si>
    <t>48 Sixth Cross Road Twickenham TW2 5PD</t>
  </si>
  <si>
    <t>17/1139/GPD15</t>
  </si>
  <si>
    <t>Change of use of property from B1a (office use) to C3 (residential) to provide 1 no. 4 bedroom dwellinghouse</t>
  </si>
  <si>
    <t xml:space="preserve">108 Sherland Road Twickenham </t>
  </si>
  <si>
    <t>TW1 4HD</t>
  </si>
  <si>
    <t xml:space="preserve">1 - 9 Sandycombe Road Richmond
</t>
  </si>
  <si>
    <t>Lockcorp House 
75 Norcutt Road
Twickenham
TW2 6SR</t>
  </si>
  <si>
    <t>17/2872/FUL</t>
  </si>
  <si>
    <t>33 Wensleydale Road Hampton TW12 2LP</t>
  </si>
  <si>
    <t>Erection of a one and a half storey, three-bedroom house in the rear garden of 33 (sited to rear of 35-35a) Wensleydale Road, with accommodation at basement level, associated hard and soft landscaping, 4 no.parking, refuse/recycling and cycle stores.</t>
  </si>
  <si>
    <t>17/2532/GPD15</t>
  </si>
  <si>
    <t>Prior approval for the change of use from office B1(a) to residential (C3) in the form of 5 no. units.</t>
  </si>
  <si>
    <t>The Coach House 273A Sandycombe Road Richmond TW9 3LU</t>
  </si>
  <si>
    <t>TW9 3LU</t>
  </si>
  <si>
    <t>Draft New London Plan Requirement - 1 April 2020 to 1 April 2030 (10 year plan period)</t>
  </si>
  <si>
    <t>22 Vivienne Close
Twickenham
TW1 2JX</t>
  </si>
  <si>
    <t>TW2 7SJ</t>
  </si>
  <si>
    <t>Net units completed during the period 2001/02 to 2019/20</t>
  </si>
  <si>
    <t>Net completions 1 April 2019 to 31 March 2020</t>
  </si>
  <si>
    <t>Five year housing land supply calculation methodology - Intend to Publish London Plan 2019</t>
  </si>
  <si>
    <t>Kneller Hall Royal Military School Of Music Kneller Road Twickenham</t>
  </si>
  <si>
    <t>Table 9</t>
  </si>
  <si>
    <t>Dwelling Type / Size</t>
  </si>
  <si>
    <t>Permissions</t>
  </si>
  <si>
    <t>Prior Approvals</t>
  </si>
  <si>
    <t xml:space="preserve">1 bed </t>
  </si>
  <si>
    <t xml:space="preserve">2 bed </t>
  </si>
  <si>
    <t xml:space="preserve">3 bed </t>
  </si>
  <si>
    <t xml:space="preserve">4+ bed </t>
  </si>
  <si>
    <t>Percentage</t>
  </si>
  <si>
    <t>Table 10</t>
  </si>
  <si>
    <t>Proportion of housing completions provided by large sites</t>
  </si>
  <si>
    <t>Net completions on small / large sites</t>
  </si>
  <si>
    <t>Small</t>
  </si>
  <si>
    <t>Large</t>
  </si>
  <si>
    <t>% Small</t>
  </si>
  <si>
    <t>% Large</t>
  </si>
  <si>
    <t xml:space="preserve">Total </t>
  </si>
  <si>
    <t>Average</t>
  </si>
  <si>
    <t>Dwelling Size of Net Completions 2019/20 (All tenures)</t>
  </si>
  <si>
    <t>Row Labels</t>
  </si>
  <si>
    <t>Sum of 1 bed net</t>
  </si>
  <si>
    <t>Sum of 2 bed net</t>
  </si>
  <si>
    <t>Sum of 3 bed net</t>
  </si>
  <si>
    <t>Sum of 4 bed net</t>
  </si>
  <si>
    <t>Sum of 5 bed net</t>
  </si>
  <si>
    <t>Sum of 6 bed net</t>
  </si>
  <si>
    <t>Sum of 7 bed net</t>
  </si>
  <si>
    <t>Table 12</t>
  </si>
  <si>
    <t>Large Site Completion</t>
  </si>
  <si>
    <t>Table 11</t>
  </si>
  <si>
    <t>% Permissions</t>
  </si>
  <si>
    <t>% Prior Approvals</t>
  </si>
  <si>
    <t>16/0905/FUL</t>
  </si>
  <si>
    <t>Demolition of the existing hall and the erection of a new community facility building and 6 flats</t>
  </si>
  <si>
    <t>275 Sandycombe Road_x000D_Richmond_x000D_TW9 3LU_x000D_</t>
  </si>
  <si>
    <t>Spatial Areas</t>
  </si>
  <si>
    <t>Town Centres</t>
  </si>
  <si>
    <t>Policy Areas</t>
  </si>
  <si>
    <t>Net completions by policy areas</t>
  </si>
  <si>
    <t>Town Centre</t>
  </si>
  <si>
    <t>Policy Area</t>
  </si>
  <si>
    <t>East Sheen</t>
  </si>
  <si>
    <t>Richmond</t>
  </si>
  <si>
    <t>Thames Policy Area</t>
  </si>
  <si>
    <t>Teddington</t>
  </si>
  <si>
    <t>Twickenham</t>
  </si>
  <si>
    <t>OOLTI</t>
  </si>
  <si>
    <t>Total in Town Centres</t>
  </si>
  <si>
    <t>Green Belt MOL</t>
  </si>
  <si>
    <t>Garden Land</t>
  </si>
  <si>
    <t>Wards</t>
  </si>
  <si>
    <t>Table 13</t>
  </si>
  <si>
    <t>Not Started</t>
  </si>
  <si>
    <t>Barnes</t>
  </si>
  <si>
    <t>Fulwell, Hampton Hill</t>
  </si>
  <si>
    <t>Hampton North</t>
  </si>
  <si>
    <t>Hampton</t>
  </si>
  <si>
    <t>Hampton Wick</t>
  </si>
  <si>
    <t>Heathfield</t>
  </si>
  <si>
    <t>Kew</t>
  </si>
  <si>
    <t>Mortlake, Barnes Common</t>
  </si>
  <si>
    <t>North Richmond</t>
  </si>
  <si>
    <t>South Richmond</t>
  </si>
  <si>
    <t>South Twickenham</t>
  </si>
  <si>
    <t>St Margarets, North Twickenham</t>
  </si>
  <si>
    <t>Twickenham Riverside</t>
  </si>
  <si>
    <t>West Twickenham</t>
  </si>
  <si>
    <t>Whitton</t>
  </si>
  <si>
    <t>Table 14</t>
  </si>
  <si>
    <t>Proposed</t>
  </si>
  <si>
    <t>Existing</t>
  </si>
  <si>
    <t>Net Gain</t>
  </si>
  <si>
    <t>Dwelling Mix</t>
  </si>
  <si>
    <t>Table 15</t>
  </si>
  <si>
    <t>Net new build units completed by unit size and tenure</t>
  </si>
  <si>
    <t>Net new build units completed by unit size</t>
  </si>
  <si>
    <t>1 bed</t>
  </si>
  <si>
    <t>2 bed</t>
  </si>
  <si>
    <t>3 bed</t>
  </si>
  <si>
    <t>4 + bed</t>
  </si>
  <si>
    <t>Not Known</t>
  </si>
  <si>
    <t>Market</t>
  </si>
  <si>
    <t>Affordable Rented</t>
  </si>
  <si>
    <t>Table 16</t>
  </si>
  <si>
    <t>Net new build units under construction by unit size and tenure</t>
  </si>
  <si>
    <t>Table 17</t>
  </si>
  <si>
    <t>Net new build units with planning permission by unit size and tenure</t>
  </si>
  <si>
    <t>Net new build units with planning permission by unit size</t>
  </si>
  <si>
    <t>Future Housing Supply</t>
  </si>
  <si>
    <t>Table 18</t>
  </si>
  <si>
    <t>2025-2029</t>
  </si>
  <si>
    <t>New Build Sites Under Construction</t>
  </si>
  <si>
    <t>Conversion Sites Under Construction</t>
  </si>
  <si>
    <t>Conversion Sites with planning permission</t>
  </si>
  <si>
    <t>Prior Approval Sites Under Construction</t>
  </si>
  <si>
    <t>Prior Approval Sites with approval</t>
  </si>
  <si>
    <t>Proposal / Other known large sites</t>
  </si>
  <si>
    <t>Fulwell and Hampton Hill</t>
  </si>
  <si>
    <t>Mortlake and Barnes Common</t>
  </si>
  <si>
    <t>Expected Housing Delivery Trajectory</t>
  </si>
  <si>
    <t>London Plan Period</t>
  </si>
  <si>
    <t>2011 London Plan</t>
  </si>
  <si>
    <t>2015 Further Alterations to the London Plan</t>
  </si>
  <si>
    <t>2015 Further Alterations to the London Plan (Continued)</t>
  </si>
  <si>
    <t>2020/21</t>
  </si>
  <si>
    <t>2021/22</t>
  </si>
  <si>
    <t>2022/23</t>
  </si>
  <si>
    <t>2023/24</t>
  </si>
  <si>
    <t>2024/25</t>
  </si>
  <si>
    <t>2025/26</t>
  </si>
  <si>
    <t>2026/27</t>
  </si>
  <si>
    <t>2027/28</t>
  </si>
  <si>
    <t>2028/29</t>
  </si>
  <si>
    <t>2029/30</t>
  </si>
  <si>
    <t>2030/31</t>
  </si>
  <si>
    <t>2031/32</t>
  </si>
  <si>
    <t>Years of Plan Remaining</t>
  </si>
  <si>
    <t>Past Completions</t>
  </si>
  <si>
    <t>Projected Completions</t>
  </si>
  <si>
    <t>Cumulative Completions over Plan Period</t>
  </si>
  <si>
    <t>Target</t>
  </si>
  <si>
    <t>Annual Target</t>
  </si>
  <si>
    <t>Cumulative Target over Plan Period</t>
  </si>
  <si>
    <t>Delivery against Target</t>
  </si>
  <si>
    <t>Cumulative Completions above Cumulative Target</t>
  </si>
  <si>
    <t>Managed Annual Target incorporating Past and Projected Completions</t>
  </si>
  <si>
    <t>Ham, Petersham and Richmond Riverside</t>
  </si>
  <si>
    <t>St. Margarets and North Twickenham</t>
  </si>
  <si>
    <t>TPA</t>
  </si>
  <si>
    <t>MixedUse</t>
  </si>
  <si>
    <t>GreenBelt</t>
  </si>
  <si>
    <t>MOL</t>
  </si>
  <si>
    <t>CA30 St Matthias Richmond</t>
  </si>
  <si>
    <t>White Hart lane</t>
  </si>
  <si>
    <t>CA70 Sheen Lane Mortlake</t>
  </si>
  <si>
    <t>Hampton Road</t>
  </si>
  <si>
    <t>CA61 Bushy Park</t>
  </si>
  <si>
    <t>CA59 Normansfield Teddington</t>
  </si>
  <si>
    <t>St Margarets</t>
  </si>
  <si>
    <t>CA49 Crown Road St Margarets</t>
  </si>
  <si>
    <t>Station Road</t>
  </si>
  <si>
    <t>CA12 Hampton Village</t>
  </si>
  <si>
    <t>High Street</t>
  </si>
  <si>
    <t>CA38 High Street Hampton Hill</t>
  </si>
  <si>
    <t>CA19 St Margarets</t>
  </si>
  <si>
    <t>CA47 Queens Road Twickenham</t>
  </si>
  <si>
    <t>CA7 Ham Common</t>
  </si>
  <si>
    <t>CA25 Castelnau</t>
  </si>
  <si>
    <t>Church Road/Castelnau</t>
  </si>
  <si>
    <t>CA15 Kew Gardens Kew</t>
  </si>
  <si>
    <t>CA17 Central Richmond</t>
  </si>
  <si>
    <t>CA27 Teddington Lock</t>
  </si>
  <si>
    <t>CA21 Cambridge Park East Twickenham</t>
  </si>
  <si>
    <t>Stanley Road</t>
  </si>
  <si>
    <t>Thames Old Deer Park</t>
  </si>
  <si>
    <t>CA8 Twickenham Riverside</t>
  </si>
  <si>
    <t>Thames Street</t>
  </si>
  <si>
    <t>CA5 Richmond Hill</t>
  </si>
  <si>
    <t>CA64 Sheen Lane East Sheen</t>
  </si>
  <si>
    <t>CA37 High Street Teddington</t>
  </si>
  <si>
    <t>Sandycombe Road North</t>
  </si>
  <si>
    <t>CA18 Hampton Wick</t>
  </si>
  <si>
    <t>CA3 Richmond Green</t>
  </si>
  <si>
    <t>CA2 Kew Green</t>
  </si>
  <si>
    <t>CA1 Barnes Green</t>
  </si>
  <si>
    <t>CA31 Sheen Road Richmond</t>
  </si>
  <si>
    <t>CA13 Christchurch Road East Sheen</t>
  </si>
  <si>
    <t>Petersham Lodge</t>
  </si>
  <si>
    <t>CA6 Petersham</t>
  </si>
  <si>
    <t>CA11 Hampton Court Green</t>
  </si>
  <si>
    <t>Station Road West</t>
  </si>
  <si>
    <t>Sheen Road</t>
  </si>
  <si>
    <t>CA69 Sheen Common Drive</t>
  </si>
  <si>
    <t>CA33 Mortlake</t>
  </si>
  <si>
    <t>East Twickenham</t>
  </si>
  <si>
    <t>CA4 Richmond Riverside</t>
  </si>
  <si>
    <t>Twickenham Green</t>
  </si>
  <si>
    <t>CA9 Twickenham Green</t>
  </si>
  <si>
    <t>CA36 Kew Foot Road</t>
  </si>
  <si>
    <t>Priests Bridge</t>
  </si>
  <si>
    <t>Kew Road</t>
  </si>
  <si>
    <t>CA53 White Hart Lane Mortlake</t>
  </si>
  <si>
    <t>Mortlake</t>
  </si>
  <si>
    <t>Townmead Kew</t>
  </si>
  <si>
    <t>Conservation Area</t>
  </si>
  <si>
    <t>Town_Centre</t>
  </si>
  <si>
    <t>Sum of Units Existing</t>
  </si>
  <si>
    <t>Table 19</t>
  </si>
  <si>
    <t>Conservation Area Name</t>
  </si>
  <si>
    <t>MixedUse Name</t>
  </si>
  <si>
    <t>Mixed Use Area</t>
  </si>
  <si>
    <t>Proposed redevelopment of existing car park to provide a new building of 5 to 6 storeys, comprising 46 no. residential units (Use Class C3), disabled car parking, cycle parking, landscaping, enhancements to public realm and associated works</t>
  </si>
  <si>
    <t>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t>
  </si>
  <si>
    <t>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t>
  </si>
  <si>
    <t>Outline planning permission for the demolition and comprehensive redevelopment (phased development) of land at Barnes Hospital to provide a mixed use development comprising a health centre (Use Class D1), a Special Educational Needs (SEN) School (Use Class D1), up to 80 new build residential units (Use class C3), the conversion of two of the retained BTMs for use for up 3no. residential units (Use Class C3), the conversion of one BTM for medical use (Use Class D1), car parking, landscaping and associated works. All matters reserved save for the full details submitted in relation to access points at the site boundaries.</t>
  </si>
  <si>
    <t>Sum of 2020/21 (1)</t>
  </si>
  <si>
    <t>Sum of 2021/22 (2)</t>
  </si>
  <si>
    <t>Sum of 2022/23 (3)</t>
  </si>
  <si>
    <t>Sum of 2023/24 (4)</t>
  </si>
  <si>
    <t>Sum of 2024/25 (5)</t>
  </si>
  <si>
    <t xml:space="preserve">Table 17 - </t>
  </si>
  <si>
    <t>N</t>
  </si>
  <si>
    <t xml:space="preserve">High Wigsell
35 Twickenham Road
Teddington
</t>
  </si>
  <si>
    <t>2025/26 (6)</t>
  </si>
  <si>
    <t>2026/27 (7)</t>
  </si>
  <si>
    <t>2027/28 (8)</t>
  </si>
  <si>
    <t>2028/29 (9)</t>
  </si>
  <si>
    <t>2029/30 (10)</t>
  </si>
  <si>
    <t>Sum of 2025/26 (6)</t>
  </si>
  <si>
    <t>Sum of 2026/27 (7)</t>
  </si>
  <si>
    <t>Sum of 2027/28 (8)</t>
  </si>
  <si>
    <t>Sum of 2028/29 (9)</t>
  </si>
  <si>
    <t>Sum of 2029/30 (10)</t>
  </si>
  <si>
    <t>Ham Central</t>
  </si>
  <si>
    <t>04. Site Allocation</t>
  </si>
  <si>
    <t>Mereway Day Centre</t>
  </si>
  <si>
    <t>Telephone Exchange, Garfield Road, Twickenham</t>
  </si>
  <si>
    <t>Telephone Exchange, Ashdale Close, Whitton, TW1 7BE</t>
  </si>
  <si>
    <t>Telephone Exchange, 88 High Street, Teddington, TW1 18JD</t>
  </si>
  <si>
    <t>Sum of 5 year total</t>
  </si>
  <si>
    <t>Sum of 6-10 year total</t>
  </si>
  <si>
    <t>Total Pipeline</t>
  </si>
  <si>
    <t>Dwelling Size of Net Completions 2016/17 - 2019/20 (All tenures)</t>
  </si>
  <si>
    <t>2020-2030 Total</t>
  </si>
  <si>
    <t>Sainsbury’s, Manor Road/Lower Richmond Road</t>
  </si>
  <si>
    <t>New Build Sites under construction</t>
  </si>
  <si>
    <t>Net completions within town centre boundaries</t>
  </si>
  <si>
    <t>Net units with planning permission, commenced or completed by Ward in 2019/20</t>
  </si>
  <si>
    <t>Net units completed by Ward in 2019/20</t>
  </si>
  <si>
    <t>Net new build units under construction by unit size</t>
  </si>
  <si>
    <t>Social Rented</t>
  </si>
  <si>
    <t>Housing Land Supply by ward (net gain) 2020/21 – 2024/25</t>
  </si>
  <si>
    <t>Housing Land Supply 2020/21 – 2024/25</t>
  </si>
  <si>
    <t>Table 20</t>
  </si>
  <si>
    <t>Change of use from B1 office use to C3 residential use</t>
  </si>
  <si>
    <t>13/0998/FUL</t>
  </si>
  <si>
    <t>Redevelopment of land at the rear of 139-141 Stanley Road, Teddington to provide two semi-detached, three storey, three bedroom houses with parking spaces following demolition of existing warehouse.</t>
  </si>
  <si>
    <t>Land At 139 - 141 Stanley Road Teddington</t>
  </si>
  <si>
    <t>TW11 8UF</t>
  </si>
  <si>
    <t>19/0637/FUL</t>
  </si>
  <si>
    <t>Demolition of the existing buildings and the erection of a mixed use development comprising of two buildings (two and three storeys), occupied as 8 residential units and 248.6m of B1 office space.</t>
  </si>
  <si>
    <t>63 Sandycombe Road Richmond TW9 2EP</t>
  </si>
  <si>
    <t>TW9 2EP</t>
  </si>
  <si>
    <t>The Boathouse Ranelagh Drive Twickenham TW1 1QZ</t>
  </si>
  <si>
    <r>
      <t>Richmond upon Thames - Authority Monitoring Report 
Housing Land Financial Year Report 2019/20 - Position at 1</t>
    </r>
    <r>
      <rPr>
        <b/>
        <vertAlign val="superscript"/>
        <sz val="16"/>
        <rFont val="Arial"/>
        <family val="2"/>
      </rPr>
      <t>st</t>
    </r>
    <r>
      <rPr>
        <b/>
        <sz val="16"/>
        <rFont val="Arial"/>
        <family val="2"/>
      </rPr>
      <t xml:space="preserve"> April 2020
</t>
    </r>
    <r>
      <rPr>
        <b/>
        <sz val="11"/>
        <rFont val="Arial"/>
        <family val="2"/>
      </rPr>
      <t>November 2020</t>
    </r>
  </si>
  <si>
    <t>Richmond upon Thames - Authority Monitoring Report 
Housing Land Financial Year Report 2019/20 - Position at 1st April 2020
November 2020</t>
  </si>
  <si>
    <t>Garage Site Craig Road Ham</t>
  </si>
  <si>
    <t>Proposed Dwelling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</si>
</sst>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42" x14ac:knownFonts="1">
    <font>
      <sz val="11"/>
      <color theme="1"/>
      <name val="Calibri"/>
      <family val="2"/>
      <scheme val="minor"/>
    </font>
    <font>
      <sz val="11"/>
      <name val="Calibri"/>
      <family val="2"/>
      <scheme val="minor"/>
    </font>
    <font>
      <sz val="11"/>
      <color rgb="FFFF0000"/>
      <name val="Calibri"/>
      <family val="2"/>
      <scheme val="minor"/>
    </font>
    <font>
      <sz val="10"/>
      <name val="Arial"/>
      <family val="2"/>
    </font>
    <font>
      <sz val="10"/>
      <name val="MS Sans Serif"/>
      <family val="2"/>
    </font>
    <font>
      <b/>
      <i/>
      <u/>
      <sz val="9"/>
      <color indexed="10"/>
      <name val="Arial"/>
      <family val="2"/>
    </font>
    <font>
      <sz val="9"/>
      <name val="Arial"/>
      <family val="2"/>
    </font>
    <font>
      <b/>
      <sz val="16"/>
      <name val="Arial"/>
      <family val="2"/>
    </font>
    <font>
      <b/>
      <vertAlign val="superscript"/>
      <sz val="16"/>
      <name val="Arial"/>
      <family val="2"/>
    </font>
    <font>
      <sz val="9"/>
      <color theme="0" tint="-0.249977111117893"/>
      <name val="Arial"/>
      <family val="2"/>
    </font>
    <font>
      <b/>
      <sz val="9"/>
      <name val="Arial"/>
      <family val="2"/>
    </font>
    <font>
      <b/>
      <sz val="8"/>
      <name val="Arial"/>
      <family val="2"/>
    </font>
    <font>
      <sz val="8"/>
      <name val="Arial"/>
      <family val="2"/>
    </font>
    <font>
      <sz val="10"/>
      <color indexed="8"/>
      <name val="Arial"/>
      <family val="2"/>
    </font>
    <font>
      <b/>
      <sz val="10"/>
      <color theme="0" tint="-0.249977111117893"/>
      <name val="Arial"/>
      <family val="2"/>
    </font>
    <font>
      <b/>
      <sz val="9"/>
      <color theme="0" tint="-0.249977111117893"/>
      <name val="Arial"/>
      <family val="2"/>
    </font>
    <font>
      <sz val="10"/>
      <color theme="0" tint="-0.249977111117893"/>
      <name val="MS Sans Serif"/>
      <family val="2"/>
    </font>
    <font>
      <sz val="8"/>
      <color theme="0" tint="-0.249977111117893"/>
      <name val="Arial"/>
      <family val="2"/>
    </font>
    <font>
      <b/>
      <sz val="8"/>
      <color theme="1"/>
      <name val="Arial"/>
      <family val="2"/>
    </font>
    <font>
      <sz val="10"/>
      <color indexed="10"/>
      <name val="Arial"/>
      <family val="2"/>
    </font>
    <font>
      <b/>
      <sz val="10"/>
      <name val="Arial"/>
      <family val="2"/>
    </font>
    <font>
      <sz val="9"/>
      <color indexed="10"/>
      <name val="Arial"/>
      <family val="2"/>
    </font>
    <font>
      <sz val="8"/>
      <color indexed="8"/>
      <name val="Arial"/>
      <family val="2"/>
    </font>
    <font>
      <b/>
      <u/>
      <sz val="16"/>
      <name val="Arial"/>
      <family val="2"/>
    </font>
    <font>
      <b/>
      <sz val="9"/>
      <color theme="0" tint="-0.499984740745262"/>
      <name val="Arial"/>
      <family val="2"/>
    </font>
    <font>
      <sz val="9"/>
      <color theme="0" tint="-0.499984740745262"/>
      <name val="Arial"/>
      <family val="2"/>
    </font>
    <font>
      <b/>
      <sz val="8"/>
      <color theme="0" tint="-0.499984740745262"/>
      <name val="Arial"/>
      <family val="2"/>
    </font>
    <font>
      <b/>
      <sz val="8"/>
      <color theme="1"/>
      <name val="Calibri"/>
      <family val="2"/>
      <scheme val="minor"/>
    </font>
    <font>
      <sz val="8"/>
      <color theme="0" tint="-0.499984740745262"/>
      <name val="Arial"/>
      <family val="2"/>
    </font>
    <font>
      <b/>
      <sz val="11"/>
      <name val="Calibri"/>
      <family val="2"/>
      <scheme val="minor"/>
    </font>
    <font>
      <sz val="11"/>
      <color theme="0" tint="-0.14999847407452621"/>
      <name val="Calibri"/>
      <family val="2"/>
      <scheme val="minor"/>
    </font>
    <font>
      <b/>
      <sz val="11"/>
      <name val="Arial"/>
      <family val="2"/>
    </font>
    <font>
      <sz val="11"/>
      <color theme="1"/>
      <name val="Calibri"/>
      <family val="2"/>
      <scheme val="minor"/>
    </font>
    <font>
      <sz val="8"/>
      <color rgb="FFFF0000"/>
      <name val="Arial"/>
      <family val="2"/>
    </font>
    <font>
      <b/>
      <sz val="8"/>
      <color indexed="17"/>
      <name val="Arial"/>
      <family val="2"/>
    </font>
    <font>
      <sz val="8"/>
      <color theme="1"/>
      <name val="Arial"/>
      <family val="2"/>
    </font>
    <font>
      <sz val="7.5"/>
      <color theme="1"/>
      <name val="Arial"/>
      <family val="2"/>
    </font>
    <font>
      <i/>
      <sz val="8"/>
      <name val="Arial"/>
      <family val="2"/>
    </font>
    <font>
      <sz val="7.5"/>
      <name val="Arial"/>
      <family val="2"/>
    </font>
    <font>
      <sz val="9"/>
      <color theme="0"/>
      <name val="Arial"/>
      <family val="2"/>
    </font>
    <font>
      <b/>
      <sz val="12"/>
      <name val="Arial"/>
      <family val="2"/>
    </font>
    <font>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55">
    <border>
      <left/>
      <right/>
      <top/>
      <bottom/>
      <diagonal/>
    </border>
    <border>
      <left style="thin">
        <color auto="1"/>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right/>
      <top style="thin">
        <color theme="1" tint="0.499984740745262"/>
      </top>
      <bottom style="thin">
        <color theme="1" tint="0.499984740745262"/>
      </bottom>
      <diagonal/>
    </border>
    <border>
      <left/>
      <right/>
      <top style="thin">
        <color theme="0" tint="-0.499984740745262"/>
      </top>
      <bottom/>
      <diagonal/>
    </border>
    <border>
      <left/>
      <right style="thin">
        <color theme="1" tint="0.499984740745262"/>
      </right>
      <top style="thin">
        <color theme="0" tint="-0.499984740745262"/>
      </top>
      <bottom style="thin">
        <color theme="0" tint="-0.499984740745262"/>
      </bottom>
      <diagonal/>
    </border>
    <border>
      <left style="thin">
        <color indexed="64"/>
      </left>
      <right/>
      <top style="thin">
        <color theme="1" tint="0.499984740745262"/>
      </top>
      <bottom style="thin">
        <color theme="1" tint="0.499984740745262"/>
      </bottom>
      <diagonal/>
    </border>
  </borders>
  <cellStyleXfs count="14">
    <xf numFmtId="0" fontId="0" fillId="0" borderId="0"/>
    <xf numFmtId="0" fontId="3" fillId="0" borderId="0"/>
    <xf numFmtId="0" fontId="4" fillId="0" borderId="0"/>
    <xf numFmtId="0" fontId="13"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2" fillId="0" borderId="0" applyFont="0" applyFill="0" applyBorder="0" applyAlignment="0" applyProtection="0"/>
    <xf numFmtId="0" fontId="13" fillId="0" borderId="0"/>
    <xf numFmtId="0" fontId="4" fillId="0" borderId="0"/>
    <xf numFmtId="43" fontId="32" fillId="0" borderId="0" applyFont="0" applyFill="0" applyBorder="0" applyAlignment="0" applyProtection="0"/>
  </cellStyleXfs>
  <cellXfs count="400">
    <xf numFmtId="0" fontId="0" fillId="0" borderId="0" xfId="0"/>
    <xf numFmtId="0" fontId="0" fillId="0" borderId="0" xfId="0" applyAlignment="1">
      <alignment horizontal="left" vertical="top" wrapText="1"/>
    </xf>
    <xf numFmtId="0" fontId="2" fillId="0" borderId="0" xfId="0" applyFont="1" applyFill="1"/>
    <xf numFmtId="0" fontId="1" fillId="0" borderId="0" xfId="0" applyFont="1"/>
    <xf numFmtId="0" fontId="9" fillId="2" borderId="3" xfId="2" applyFont="1" applyFill="1" applyBorder="1"/>
    <xf numFmtId="0" fontId="9" fillId="2" borderId="4" xfId="2" applyFont="1" applyFill="1" applyBorder="1"/>
    <xf numFmtId="0" fontId="9" fillId="2" borderId="0" xfId="2" applyFont="1" applyFill="1"/>
    <xf numFmtId="0" fontId="9" fillId="2" borderId="9" xfId="2" applyFont="1" applyFill="1" applyBorder="1"/>
    <xf numFmtId="0" fontId="3" fillId="2" borderId="0" xfId="1" applyFill="1"/>
    <xf numFmtId="0" fontId="6" fillId="2" borderId="9" xfId="2" applyFont="1" applyFill="1" applyBorder="1"/>
    <xf numFmtId="0" fontId="6" fillId="2" borderId="6" xfId="2" applyFont="1" applyFill="1" applyBorder="1"/>
    <xf numFmtId="0" fontId="24" fillId="2" borderId="0" xfId="2" applyFont="1" applyFill="1"/>
    <xf numFmtId="0" fontId="25" fillId="2" borderId="0" xfId="2" applyFont="1" applyFill="1"/>
    <xf numFmtId="0" fontId="27" fillId="2" borderId="0" xfId="0" applyFont="1" applyFill="1"/>
    <xf numFmtId="0" fontId="28" fillId="2" borderId="0" xfId="2" applyFont="1" applyFill="1"/>
    <xf numFmtId="3" fontId="28" fillId="2" borderId="0" xfId="2" applyNumberFormat="1" applyFont="1" applyFill="1" applyAlignment="1">
      <alignment horizontal="right"/>
    </xf>
    <xf numFmtId="0" fontId="26" fillId="2" borderId="0" xfId="2" applyFont="1" applyFill="1"/>
    <xf numFmtId="3" fontId="26" fillId="2" borderId="0" xfId="2" applyNumberFormat="1" applyFont="1" applyFill="1" applyAlignment="1">
      <alignment horizontal="right"/>
    </xf>
    <xf numFmtId="0" fontId="0" fillId="0" borderId="0" xfId="0" applyAlignment="1"/>
    <xf numFmtId="0" fontId="1" fillId="0" borderId="0" xfId="0" applyFont="1" applyFill="1"/>
    <xf numFmtId="0" fontId="1" fillId="0" borderId="0" xfId="0" applyFont="1" applyBorder="1"/>
    <xf numFmtId="0" fontId="1" fillId="0" borderId="0" xfId="0" applyFont="1" applyFill="1" applyBorder="1"/>
    <xf numFmtId="0" fontId="3" fillId="2" borderId="0" xfId="1" applyFill="1" applyBorder="1"/>
    <xf numFmtId="0" fontId="0" fillId="2" borderId="0" xfId="0" applyFill="1" applyBorder="1"/>
    <xf numFmtId="0" fontId="1" fillId="2" borderId="0" xfId="0" applyFont="1" applyFill="1" applyBorder="1"/>
    <xf numFmtId="0" fontId="1" fillId="0" borderId="0" xfId="0" applyFont="1" applyFill="1" applyAlignment="1">
      <alignment horizontal="left" vertical="top" wrapText="1"/>
    </xf>
    <xf numFmtId="0" fontId="1" fillId="0" borderId="0" xfId="0" applyFont="1" applyFill="1" applyAlignment="1">
      <alignment wrapText="1"/>
    </xf>
    <xf numFmtId="14" fontId="1" fillId="0" borderId="0" xfId="0" applyNumberFormat="1" applyFont="1" applyFill="1" applyAlignment="1">
      <alignment vertical="center"/>
    </xf>
    <xf numFmtId="0" fontId="19" fillId="2" borderId="0" xfId="1" applyFont="1" applyFill="1"/>
    <xf numFmtId="3" fontId="3" fillId="2" borderId="0" xfId="1" applyNumberFormat="1" applyFill="1"/>
    <xf numFmtId="0" fontId="30" fillId="0" borderId="0" xfId="0" applyFont="1"/>
    <xf numFmtId="164" fontId="1" fillId="0" borderId="0" xfId="0" applyNumberFormat="1" applyFont="1" applyFill="1" applyBorder="1" applyAlignment="1">
      <alignment horizontal="center"/>
    </xf>
    <xf numFmtId="0" fontId="29" fillId="2" borderId="0" xfId="0" applyFont="1" applyFill="1" applyBorder="1"/>
    <xf numFmtId="0" fontId="1" fillId="0" borderId="1" xfId="0" applyFont="1" applyFill="1" applyBorder="1" applyAlignment="1"/>
    <xf numFmtId="14" fontId="1" fillId="0" borderId="0" xfId="0" applyNumberFormat="1" applyFont="1" applyFill="1" applyAlignment="1" applyProtection="1">
      <alignment vertical="center"/>
    </xf>
    <xf numFmtId="0" fontId="1" fillId="0" borderId="1" xfId="0" applyFont="1" applyFill="1" applyBorder="1" applyAlignment="1">
      <alignment vertical="top"/>
    </xf>
    <xf numFmtId="14" fontId="1" fillId="0" borderId="1" xfId="0" applyNumberFormat="1" applyFont="1" applyFill="1" applyBorder="1"/>
    <xf numFmtId="14" fontId="1" fillId="0" borderId="0" xfId="0" applyNumberFormat="1" applyFont="1" applyFill="1"/>
    <xf numFmtId="0" fontId="1" fillId="0" borderId="1" xfId="0" applyFont="1" applyFill="1" applyBorder="1"/>
    <xf numFmtId="164" fontId="1" fillId="0" borderId="9" xfId="0" applyNumberFormat="1" applyFont="1" applyFill="1" applyBorder="1" applyAlignment="1">
      <alignment horizontal="center"/>
    </xf>
    <xf numFmtId="164" fontId="1" fillId="0" borderId="8" xfId="0" applyNumberFormat="1" applyFont="1" applyFill="1" applyBorder="1" applyAlignment="1">
      <alignment horizontal="center"/>
    </xf>
    <xf numFmtId="1" fontId="1" fillId="0" borderId="0" xfId="0" applyNumberFormat="1" applyFont="1" applyFill="1" applyAlignment="1">
      <alignment horizontal="right"/>
    </xf>
    <xf numFmtId="0" fontId="1" fillId="0" borderId="24" xfId="0" applyFont="1" applyFill="1" applyBorder="1" applyAlignment="1">
      <alignment horizontal="left" vertical="top" wrapText="1"/>
    </xf>
    <xf numFmtId="0" fontId="1" fillId="0" borderId="0" xfId="0" applyNumberFormat="1" applyFont="1" applyFill="1"/>
    <xf numFmtId="2" fontId="1" fillId="0" borderId="0" xfId="0" applyNumberFormat="1" applyFont="1" applyFill="1" applyBorder="1" applyAlignment="1">
      <alignment horizontal="center"/>
    </xf>
    <xf numFmtId="2" fontId="1" fillId="0" borderId="9" xfId="0" applyNumberFormat="1" applyFont="1" applyFill="1" applyBorder="1" applyAlignment="1">
      <alignment horizontal="center"/>
    </xf>
    <xf numFmtId="0" fontId="1" fillId="0" borderId="0" xfId="0" applyFont="1" applyFill="1" applyAlignment="1"/>
    <xf numFmtId="0" fontId="2" fillId="0" borderId="1" xfId="0" applyFont="1" applyFill="1" applyBorder="1"/>
    <xf numFmtId="0" fontId="1" fillId="0" borderId="23"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1" fillId="0" borderId="23" xfId="0" applyFont="1" applyFill="1" applyBorder="1" applyAlignment="1">
      <alignment horizontal="center" vertical="top" wrapText="1"/>
    </xf>
    <xf numFmtId="164" fontId="1" fillId="0" borderId="8"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0" fontId="0" fillId="0" borderId="0" xfId="0" applyFont="1" applyFill="1"/>
    <xf numFmtId="0" fontId="0" fillId="0" borderId="0" xfId="0" applyFont="1" applyFill="1" applyAlignment="1"/>
    <xf numFmtId="0" fontId="0" fillId="0" borderId="1" xfId="0" applyFont="1" applyFill="1" applyBorder="1"/>
    <xf numFmtId="14" fontId="0" fillId="0" borderId="1" xfId="0" applyNumberFormat="1" applyFont="1" applyFill="1" applyBorder="1"/>
    <xf numFmtId="0" fontId="0" fillId="0" borderId="0" xfId="0" applyFont="1" applyFill="1" applyAlignment="1">
      <alignment wrapText="1"/>
    </xf>
    <xf numFmtId="0" fontId="3" fillId="2" borderId="8" xfId="1" applyFill="1" applyBorder="1"/>
    <xf numFmtId="9" fontId="12" fillId="2" borderId="0" xfId="10" applyFont="1" applyFill="1" applyBorder="1" applyAlignment="1">
      <alignment horizontal="center"/>
    </xf>
    <xf numFmtId="0" fontId="11" fillId="3" borderId="10" xfId="1" applyFont="1" applyFill="1" applyBorder="1" applyAlignment="1">
      <alignment horizontal="center"/>
    </xf>
    <xf numFmtId="9" fontId="33" fillId="2" borderId="0" xfId="10" applyFont="1" applyFill="1" applyBorder="1" applyAlignment="1">
      <alignment horizontal="center"/>
    </xf>
    <xf numFmtId="0" fontId="3" fillId="2" borderId="6" xfId="1" applyFill="1" applyBorder="1"/>
    <xf numFmtId="0" fontId="3" fillId="2" borderId="9" xfId="1" applyFill="1" applyBorder="1"/>
    <xf numFmtId="0" fontId="3" fillId="2" borderId="7" xfId="1" applyFill="1" applyBorder="1"/>
    <xf numFmtId="0" fontId="1" fillId="0" borderId="40" xfId="0" applyFont="1" applyBorder="1" applyAlignment="1">
      <alignment horizontal="center" vertical="top" wrapText="1"/>
    </xf>
    <xf numFmtId="164" fontId="1" fillId="0" borderId="0" xfId="0" applyNumberFormat="1" applyFont="1"/>
    <xf numFmtId="0" fontId="3" fillId="2" borderId="5" xfId="1" applyFill="1" applyBorder="1"/>
    <xf numFmtId="0" fontId="12" fillId="3" borderId="15" xfId="2" applyFont="1" applyFill="1" applyBorder="1" applyAlignment="1">
      <alignment horizontal="center" vertical="top"/>
    </xf>
    <xf numFmtId="0" fontId="12" fillId="3" borderId="15" xfId="2" applyFont="1" applyFill="1" applyBorder="1" applyAlignment="1">
      <alignment horizontal="center" vertical="top" wrapText="1"/>
    </xf>
    <xf numFmtId="0" fontId="11" fillId="2" borderId="6" xfId="2" applyFont="1" applyFill="1" applyBorder="1" applyAlignment="1">
      <alignment horizontal="left"/>
    </xf>
    <xf numFmtId="3" fontId="11" fillId="2" borderId="6" xfId="2" applyNumberFormat="1" applyFont="1" applyFill="1" applyBorder="1" applyAlignment="1">
      <alignment horizontal="right"/>
    </xf>
    <xf numFmtId="1" fontId="11" fillId="2" borderId="6" xfId="2" applyNumberFormat="1" applyFont="1" applyFill="1" applyBorder="1" applyAlignment="1">
      <alignment horizontal="right"/>
    </xf>
    <xf numFmtId="3" fontId="6" fillId="2" borderId="6" xfId="2" applyNumberFormat="1" applyFont="1" applyFill="1" applyBorder="1" applyAlignment="1">
      <alignment horizontal="center"/>
    </xf>
    <xf numFmtId="0" fontId="4" fillId="2" borderId="7" xfId="2" applyFill="1" applyBorder="1"/>
    <xf numFmtId="0" fontId="6" fillId="2" borderId="0" xfId="8" applyFont="1" applyFill="1" applyAlignment="1">
      <alignment horizontal="right"/>
    </xf>
    <xf numFmtId="0" fontId="11" fillId="5" borderId="48" xfId="11" applyFont="1" applyFill="1" applyBorder="1" applyAlignment="1">
      <alignment horizontal="right" vertical="center"/>
    </xf>
    <xf numFmtId="0" fontId="11" fillId="5" borderId="0" xfId="11" applyFont="1" applyFill="1" applyAlignment="1">
      <alignment horizontal="right" vertical="center"/>
    </xf>
    <xf numFmtId="0" fontId="11" fillId="5" borderId="47" xfId="11" applyFont="1" applyFill="1" applyBorder="1" applyAlignment="1">
      <alignment horizontal="right" vertical="center"/>
    </xf>
    <xf numFmtId="0" fontId="11" fillId="5" borderId="9" xfId="11" applyFont="1" applyFill="1" applyBorder="1" applyAlignment="1">
      <alignment horizontal="right" vertical="center"/>
    </xf>
    <xf numFmtId="3" fontId="37" fillId="5" borderId="50" xfId="12" applyNumberFormat="1" applyFont="1" applyFill="1" applyBorder="1" applyAlignment="1">
      <alignment horizontal="center" vertical="center"/>
    </xf>
    <xf numFmtId="3" fontId="37" fillId="5" borderId="3" xfId="12" applyNumberFormat="1" applyFont="1" applyFill="1" applyBorder="1" applyAlignment="1">
      <alignment horizontal="center" vertical="center"/>
    </xf>
    <xf numFmtId="3" fontId="37" fillId="5" borderId="49" xfId="12" applyNumberFormat="1" applyFont="1" applyFill="1" applyBorder="1" applyAlignment="1">
      <alignment horizontal="center" vertical="center"/>
    </xf>
    <xf numFmtId="3" fontId="11" fillId="5" borderId="3" xfId="11" applyNumberFormat="1" applyFont="1" applyFill="1" applyBorder="1" applyAlignment="1">
      <alignment horizontal="right" vertical="center"/>
    </xf>
    <xf numFmtId="3" fontId="11" fillId="5" borderId="4" xfId="11" applyNumberFormat="1" applyFont="1" applyFill="1" applyBorder="1" applyAlignment="1">
      <alignment horizontal="right" vertical="center"/>
    </xf>
    <xf numFmtId="0" fontId="12" fillId="5" borderId="23" xfId="11" applyFont="1" applyFill="1" applyBorder="1" applyAlignment="1">
      <alignment vertical="center" wrapText="1"/>
    </xf>
    <xf numFmtId="0" fontId="12" fillId="0" borderId="23" xfId="9" applyFont="1" applyBorder="1" applyAlignment="1">
      <alignment horizontal="center" vertical="center"/>
    </xf>
    <xf numFmtId="3" fontId="12" fillId="0" borderId="23" xfId="11" applyNumberFormat="1" applyFont="1" applyBorder="1" applyAlignment="1">
      <alignment horizontal="center" vertical="center"/>
    </xf>
    <xf numFmtId="3" fontId="12" fillId="2" borderId="23" xfId="11" applyNumberFormat="1" applyFont="1" applyFill="1" applyBorder="1" applyAlignment="1">
      <alignment horizontal="center" vertical="center"/>
    </xf>
    <xf numFmtId="3" fontId="12" fillId="2" borderId="23" xfId="12" applyNumberFormat="1" applyFont="1" applyFill="1" applyBorder="1" applyAlignment="1">
      <alignment horizontal="center" vertical="center"/>
    </xf>
    <xf numFmtId="0" fontId="12" fillId="5" borderId="23" xfId="11" applyFont="1" applyFill="1" applyBorder="1" applyAlignment="1">
      <alignment horizontal="left" vertical="center" wrapText="1"/>
    </xf>
    <xf numFmtId="3" fontId="12" fillId="2" borderId="23" xfId="8" applyNumberFormat="1" applyFont="1" applyFill="1" applyBorder="1" applyAlignment="1">
      <alignment horizontal="center" vertical="center"/>
    </xf>
    <xf numFmtId="0" fontId="6" fillId="2" borderId="0" xfId="8" applyFont="1" applyFill="1"/>
    <xf numFmtId="0" fontId="2" fillId="0" borderId="0" xfId="0" applyFont="1" applyFill="1" applyAlignment="1"/>
    <xf numFmtId="0" fontId="2" fillId="0" borderId="0" xfId="0" applyFont="1" applyAlignment="1"/>
    <xf numFmtId="3" fontId="11" fillId="3" borderId="15" xfId="2" applyNumberFormat="1" applyFont="1" applyFill="1" applyBorder="1" applyAlignment="1">
      <alignment horizontal="right"/>
    </xf>
    <xf numFmtId="1" fontId="11" fillId="3" borderId="15" xfId="2" applyNumberFormat="1" applyFont="1" applyFill="1" applyBorder="1" applyAlignment="1">
      <alignment horizontal="right"/>
    </xf>
    <xf numFmtId="1"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9" fontId="11" fillId="3" borderId="15" xfId="2" applyNumberFormat="1" applyFont="1" applyFill="1" applyBorder="1" applyAlignment="1">
      <alignment horizontal="right"/>
    </xf>
    <xf numFmtId="0" fontId="1" fillId="0" borderId="29" xfId="0" applyFont="1" applyFill="1" applyBorder="1" applyAlignment="1"/>
    <xf numFmtId="0" fontId="26" fillId="2" borderId="0" xfId="2" applyFont="1" applyFill="1" applyAlignment="1">
      <alignment horizontal="center"/>
    </xf>
    <xf numFmtId="14" fontId="0" fillId="0" borderId="0" xfId="0" applyNumberFormat="1" applyAlignment="1">
      <alignment vertical="center"/>
    </xf>
    <xf numFmtId="0" fontId="36" fillId="3" borderId="23" xfId="0" applyFont="1" applyFill="1" applyBorder="1" applyAlignment="1">
      <alignment horizontal="center" vertical="top" wrapText="1"/>
    </xf>
    <xf numFmtId="0" fontId="38" fillId="3" borderId="23" xfId="0" applyFont="1" applyFill="1" applyBorder="1" applyAlignment="1">
      <alignment horizontal="center" vertical="top" wrapText="1"/>
    </xf>
    <xf numFmtId="0" fontId="11" fillId="3" borderId="23" xfId="0" applyFont="1" applyFill="1" applyBorder="1" applyAlignment="1">
      <alignment horizontal="center" vertical="top" wrapText="1"/>
    </xf>
    <xf numFmtId="3" fontId="12" fillId="0" borderId="23" xfId="12" applyNumberFormat="1" applyFont="1" applyBorder="1" applyAlignment="1">
      <alignment horizontal="center" vertical="center"/>
    </xf>
    <xf numFmtId="3" fontId="12" fillId="0" borderId="23" xfId="8" applyNumberFormat="1" applyFont="1" applyBorder="1" applyAlignment="1">
      <alignment horizontal="center" vertical="center"/>
    </xf>
    <xf numFmtId="0" fontId="11" fillId="0" borderId="23" xfId="9" applyFont="1" applyBorder="1" applyAlignment="1">
      <alignment horizontal="center" vertical="center"/>
    </xf>
    <xf numFmtId="1" fontId="12" fillId="0" borderId="23" xfId="9" applyNumberFormat="1" applyFont="1" applyBorder="1" applyAlignment="1">
      <alignment horizontal="center" vertical="center"/>
    </xf>
    <xf numFmtId="3" fontId="12" fillId="0" borderId="23" xfId="11" applyNumberFormat="1" applyFont="1" applyFill="1" applyBorder="1" applyAlignment="1">
      <alignment horizontal="center" vertical="center"/>
    </xf>
    <xf numFmtId="0" fontId="4" fillId="2" borderId="0" xfId="2" applyFill="1" applyBorder="1"/>
    <xf numFmtId="3" fontId="12" fillId="2" borderId="10" xfId="2" applyNumberFormat="1" applyFont="1" applyFill="1" applyBorder="1" applyAlignment="1">
      <alignment horizontal="right" wrapText="1"/>
    </xf>
    <xf numFmtId="3" fontId="12" fillId="2" borderId="10" xfId="3" applyNumberFormat="1" applyFont="1" applyFill="1" applyBorder="1" applyAlignment="1">
      <alignment horizontal="right" wrapText="1"/>
    </xf>
    <xf numFmtId="3" fontId="12" fillId="2" borderId="10" xfId="3" applyNumberFormat="1" applyFont="1" applyFill="1" applyBorder="1" applyAlignment="1">
      <alignment horizontal="right"/>
    </xf>
    <xf numFmtId="9" fontId="12" fillId="2" borderId="10" xfId="2" applyNumberFormat="1" applyFont="1" applyFill="1" applyBorder="1" applyAlignment="1">
      <alignment horizontal="right" wrapText="1"/>
    </xf>
    <xf numFmtId="3" fontId="11" fillId="2" borderId="15" xfId="1" applyNumberFormat="1" applyFont="1" applyFill="1" applyBorder="1" applyAlignment="1">
      <alignment horizontal="right" vertical="center" wrapText="1"/>
    </xf>
    <xf numFmtId="3" fontId="12" fillId="2" borderId="15" xfId="1" applyNumberFormat="1" applyFont="1" applyFill="1" applyBorder="1" applyAlignment="1">
      <alignment horizontal="right" vertical="center" wrapText="1"/>
    </xf>
    <xf numFmtId="9" fontId="11" fillId="2" borderId="15" xfId="1" applyNumberFormat="1" applyFont="1" applyFill="1" applyBorder="1" applyAlignment="1">
      <alignment horizontal="right" vertical="center" wrapText="1"/>
    </xf>
    <xf numFmtId="164" fontId="11" fillId="2" borderId="15" xfId="1" applyNumberFormat="1" applyFont="1" applyFill="1" applyBorder="1" applyAlignment="1">
      <alignment horizontal="right" vertical="center" wrapText="1"/>
    </xf>
    <xf numFmtId="3" fontId="12" fillId="2" borderId="15" xfId="2" applyNumberFormat="1" applyFont="1" applyFill="1" applyBorder="1" applyAlignment="1">
      <alignment horizontal="right"/>
    </xf>
    <xf numFmtId="3" fontId="11" fillId="2" borderId="15" xfId="2" applyNumberFormat="1" applyFont="1" applyFill="1" applyBorder="1" applyAlignment="1">
      <alignment horizontal="right"/>
    </xf>
    <xf numFmtId="0" fontId="13" fillId="2" borderId="9" xfId="3" applyFill="1" applyBorder="1"/>
    <xf numFmtId="0" fontId="13" fillId="2" borderId="17" xfId="3" applyFill="1" applyBorder="1"/>
    <xf numFmtId="0" fontId="13" fillId="2" borderId="18" xfId="3" applyFill="1" applyBorder="1"/>
    <xf numFmtId="0" fontId="10" fillId="2" borderId="19" xfId="3" applyFont="1" applyFill="1" applyBorder="1"/>
    <xf numFmtId="0" fontId="13" fillId="2" borderId="9" xfId="3" applyFill="1" applyBorder="1" applyAlignment="1">
      <alignment horizontal="center" vertical="center"/>
    </xf>
    <xf numFmtId="3" fontId="12" fillId="2" borderId="20" xfId="3" applyNumberFormat="1" applyFont="1" applyFill="1" applyBorder="1" applyAlignment="1">
      <alignment horizontal="center" vertical="center"/>
    </xf>
    <xf numFmtId="3" fontId="12" fillId="2" borderId="10" xfId="3" applyNumberFormat="1" applyFont="1" applyFill="1" applyBorder="1" applyAlignment="1">
      <alignment horizontal="center" vertical="center"/>
    </xf>
    <xf numFmtId="0" fontId="6" fillId="2" borderId="3" xfId="2" applyFont="1" applyFill="1" applyBorder="1"/>
    <xf numFmtId="0" fontId="3" fillId="2" borderId="3" xfId="1" applyFill="1" applyBorder="1"/>
    <xf numFmtId="0" fontId="3" fillId="2" borderId="4" xfId="1" applyFill="1" applyBorder="1"/>
    <xf numFmtId="3" fontId="12" fillId="2" borderId="10" xfId="2" applyNumberFormat="1" applyFont="1" applyFill="1" applyBorder="1" applyAlignment="1">
      <alignment horizontal="right"/>
    </xf>
    <xf numFmtId="9" fontId="12" fillId="2" borderId="10" xfId="2" applyNumberFormat="1" applyFont="1" applyFill="1" applyBorder="1" applyAlignment="1">
      <alignment horizontal="right"/>
    </xf>
    <xf numFmtId="0" fontId="4" fillId="2" borderId="6" xfId="2" applyFill="1" applyBorder="1"/>
    <xf numFmtId="9" fontId="12" fillId="2" borderId="15" xfId="10" applyFont="1" applyFill="1" applyBorder="1" applyAlignment="1">
      <alignment horizontal="center"/>
    </xf>
    <xf numFmtId="0" fontId="11" fillId="2" borderId="10" xfId="1" applyFont="1" applyFill="1" applyBorder="1" applyAlignment="1">
      <alignment horizontal="center"/>
    </xf>
    <xf numFmtId="0" fontId="12" fillId="2" borderId="10" xfId="1" applyFont="1" applyFill="1" applyBorder="1" applyAlignment="1">
      <alignment horizontal="center"/>
    </xf>
    <xf numFmtId="9" fontId="12" fillId="2" borderId="10" xfId="10" applyFont="1" applyFill="1" applyBorder="1" applyAlignment="1">
      <alignment horizontal="center"/>
    </xf>
    <xf numFmtId="3" fontId="12" fillId="2" borderId="15" xfId="3" applyNumberFormat="1" applyFont="1" applyFill="1" applyBorder="1" applyAlignment="1">
      <alignment horizontal="right"/>
    </xf>
    <xf numFmtId="9" fontId="12" fillId="2" borderId="15" xfId="2" applyNumberFormat="1" applyFont="1" applyFill="1" applyBorder="1" applyAlignment="1">
      <alignment horizontal="right"/>
    </xf>
    <xf numFmtId="9" fontId="6" fillId="2" borderId="6" xfId="2" applyNumberFormat="1" applyFont="1" applyFill="1" applyBorder="1" applyAlignment="1">
      <alignment horizontal="center"/>
    </xf>
    <xf numFmtId="3" fontId="11" fillId="3" borderId="10" xfId="2" applyNumberFormat="1" applyFont="1" applyFill="1" applyBorder="1" applyAlignment="1">
      <alignment horizontal="center" vertical="center" wrapText="1"/>
    </xf>
    <xf numFmtId="0" fontId="12" fillId="3" borderId="15" xfId="3" applyFont="1" applyFill="1" applyBorder="1" applyAlignment="1">
      <alignment horizontal="center" vertical="top" wrapText="1"/>
    </xf>
    <xf numFmtId="0" fontId="11" fillId="3" borderId="10" xfId="2" applyFont="1" applyFill="1" applyBorder="1" applyAlignment="1">
      <alignment horizontal="center"/>
    </xf>
    <xf numFmtId="3" fontId="11" fillId="3" borderId="10" xfId="2" applyNumberFormat="1" applyFont="1" applyFill="1" applyBorder="1" applyAlignment="1">
      <alignment horizontal="right"/>
    </xf>
    <xf numFmtId="9" fontId="11" fillId="3" borderId="10" xfId="2" applyNumberFormat="1" applyFont="1" applyFill="1" applyBorder="1" applyAlignment="1">
      <alignment horizontal="right"/>
    </xf>
    <xf numFmtId="0" fontId="0" fillId="0" borderId="0" xfId="0" applyFill="1"/>
    <xf numFmtId="0" fontId="1" fillId="0" borderId="0" xfId="0" applyFont="1" applyFill="1" applyBorder="1" applyAlignment="1">
      <alignment horizontal="center" vertical="top" wrapText="1"/>
    </xf>
    <xf numFmtId="1" fontId="1" fillId="0" borderId="0" xfId="0" applyNumberFormat="1" applyFont="1" applyFill="1" applyBorder="1" applyAlignment="1">
      <alignment horizontal="center"/>
    </xf>
    <xf numFmtId="1" fontId="29" fillId="0" borderId="0" xfId="0" applyNumberFormat="1" applyFont="1" applyBorder="1"/>
    <xf numFmtId="165" fontId="12" fillId="2" borderId="10" xfId="13" applyNumberFormat="1" applyFont="1" applyFill="1" applyBorder="1" applyAlignment="1">
      <alignment horizontal="center" vertical="center"/>
    </xf>
    <xf numFmtId="165" fontId="11" fillId="3" borderId="10" xfId="13" applyNumberFormat="1" applyFont="1" applyFill="1" applyBorder="1" applyAlignment="1">
      <alignment horizontal="center" vertical="center"/>
    </xf>
    <xf numFmtId="9" fontId="11" fillId="3" borderId="10" xfId="10" applyFont="1" applyFill="1" applyBorder="1" applyAlignment="1">
      <alignment horizontal="center"/>
    </xf>
    <xf numFmtId="165" fontId="12" fillId="2" borderId="23" xfId="13" applyNumberFormat="1" applyFont="1" applyFill="1" applyBorder="1" applyAlignment="1">
      <alignment horizontal="center" vertical="center" wrapText="1"/>
    </xf>
    <xf numFmtId="165" fontId="11" fillId="2" borderId="23" xfId="13" applyNumberFormat="1" applyFont="1" applyFill="1" applyBorder="1" applyAlignment="1">
      <alignment horizontal="center" vertical="center" wrapText="1"/>
    </xf>
    <xf numFmtId="165" fontId="11" fillId="3" borderId="23" xfId="13" applyNumberFormat="1" applyFont="1" applyFill="1" applyBorder="1" applyAlignment="1">
      <alignment horizontal="center" vertical="center" wrapText="1"/>
    </xf>
    <xf numFmtId="0" fontId="12" fillId="2" borderId="15" xfId="2" applyFont="1" applyFill="1" applyBorder="1" applyAlignment="1">
      <alignment horizontal="center"/>
    </xf>
    <xf numFmtId="0" fontId="12" fillId="2" borderId="30" xfId="2" applyFont="1" applyFill="1" applyBorder="1" applyAlignment="1">
      <alignment horizontal="center"/>
    </xf>
    <xf numFmtId="0" fontId="11" fillId="3" borderId="15" xfId="2" applyFont="1" applyFill="1" applyBorder="1" applyAlignment="1">
      <alignment horizontal="center" vertical="center" wrapText="1"/>
    </xf>
    <xf numFmtId="0" fontId="11" fillId="3" borderId="30" xfId="2" applyFont="1" applyFill="1" applyBorder="1" applyAlignment="1">
      <alignment horizontal="center" vertical="center" wrapText="1"/>
    </xf>
    <xf numFmtId="1" fontId="11" fillId="3" borderId="15" xfId="10" applyNumberFormat="1" applyFont="1" applyFill="1" applyBorder="1" applyAlignment="1">
      <alignment horizontal="center"/>
    </xf>
    <xf numFmtId="0" fontId="11" fillId="3" borderId="15" xfId="2" applyFont="1" applyFill="1" applyBorder="1" applyAlignment="1">
      <alignment horizontal="center"/>
    </xf>
    <xf numFmtId="9" fontId="11" fillId="3" borderId="15" xfId="10" applyFont="1" applyFill="1" applyBorder="1" applyAlignment="1">
      <alignment horizontal="center"/>
    </xf>
    <xf numFmtId="0" fontId="11" fillId="3" borderId="10" xfId="2" applyFont="1" applyFill="1" applyBorder="1" applyAlignment="1">
      <alignment horizontal="center" vertical="center" wrapText="1"/>
    </xf>
    <xf numFmtId="0" fontId="11" fillId="3" borderId="10" xfId="2" applyFont="1" applyFill="1" applyBorder="1" applyAlignment="1">
      <alignment horizontal="center" vertical="top" wrapText="1"/>
    </xf>
    <xf numFmtId="0" fontId="12" fillId="3" borderId="15" xfId="2" applyFont="1" applyFill="1" applyBorder="1" applyAlignment="1">
      <alignment horizontal="center"/>
    </xf>
    <xf numFmtId="0" fontId="35" fillId="3" borderId="23" xfId="0" applyFont="1" applyFill="1" applyBorder="1" applyAlignment="1">
      <alignment horizontal="center" vertical="center" wrapText="1"/>
    </xf>
    <xf numFmtId="0" fontId="9" fillId="2" borderId="0" xfId="2" applyFont="1" applyFill="1" applyBorder="1"/>
    <xf numFmtId="0" fontId="10" fillId="2" borderId="0" xfId="2" applyFont="1" applyFill="1" applyBorder="1"/>
    <xf numFmtId="0" fontId="6" fillId="2" borderId="0" xfId="2" applyFont="1" applyFill="1" applyBorder="1"/>
    <xf numFmtId="3" fontId="12" fillId="2" borderId="0" xfId="2" applyNumberFormat="1" applyFont="1" applyFill="1" applyBorder="1" applyAlignment="1">
      <alignment horizontal="right" wrapText="1"/>
    </xf>
    <xf numFmtId="3" fontId="12" fillId="2" borderId="0" xfId="3" applyNumberFormat="1" applyFont="1" applyFill="1" applyBorder="1" applyAlignment="1">
      <alignment horizontal="right" wrapText="1"/>
    </xf>
    <xf numFmtId="3" fontId="12" fillId="2" borderId="0" xfId="3" applyNumberFormat="1" applyFont="1" applyFill="1" applyBorder="1" applyAlignment="1">
      <alignment horizontal="right"/>
    </xf>
    <xf numFmtId="0" fontId="12" fillId="2" borderId="0" xfId="2" applyFont="1" applyFill="1" applyBorder="1" applyAlignment="1">
      <alignment horizontal="left" wrapText="1"/>
    </xf>
    <xf numFmtId="1" fontId="33" fillId="2" borderId="0" xfId="10" applyNumberFormat="1" applyFont="1" applyFill="1" applyBorder="1" applyAlignment="1">
      <alignment horizontal="right" wrapText="1"/>
    </xf>
    <xf numFmtId="0" fontId="14" fillId="2" borderId="0" xfId="2" applyFont="1" applyFill="1" applyBorder="1"/>
    <xf numFmtId="0" fontId="15" fillId="2" borderId="0" xfId="2" applyFont="1" applyFill="1" applyBorder="1"/>
    <xf numFmtId="0" fontId="16" fillId="2" borderId="0" xfId="2" applyFont="1" applyFill="1" applyBorder="1"/>
    <xf numFmtId="0" fontId="17" fillId="2" borderId="0" xfId="1" applyFont="1" applyFill="1" applyBorder="1" applyAlignment="1">
      <alignment horizontal="center" vertical="center" wrapText="1"/>
    </xf>
    <xf numFmtId="0" fontId="17" fillId="2" borderId="0" xfId="1" applyFont="1" applyFill="1" applyBorder="1" applyAlignment="1">
      <alignment horizontal="left" vertical="center" wrapText="1"/>
    </xf>
    <xf numFmtId="0" fontId="17" fillId="2" borderId="0" xfId="1" applyFont="1" applyFill="1" applyBorder="1" applyAlignment="1">
      <alignment horizontal="right" vertical="center" wrapText="1"/>
    </xf>
    <xf numFmtId="3" fontId="9" fillId="2" borderId="0" xfId="2" applyNumberFormat="1" applyFont="1" applyFill="1" applyBorder="1"/>
    <xf numFmtId="0" fontId="20" fillId="2" borderId="0" xfId="2" applyFont="1" applyFill="1" applyBorder="1" applyAlignment="1">
      <alignment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3" fontId="18"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0" fontId="12" fillId="2" borderId="0" xfId="3" applyFont="1" applyFill="1" applyBorder="1"/>
    <xf numFmtId="0" fontId="12" fillId="2" borderId="0" xfId="3" applyFont="1" applyFill="1" applyBorder="1" applyAlignment="1">
      <alignment wrapText="1"/>
    </xf>
    <xf numFmtId="3" fontId="12" fillId="2" borderId="0" xfId="3" applyNumberFormat="1" applyFont="1" applyFill="1" applyBorder="1" applyAlignment="1">
      <alignment horizontal="center"/>
    </xf>
    <xf numFmtId="0" fontId="13" fillId="2" borderId="0" xfId="3" applyFill="1" applyBorder="1"/>
    <xf numFmtId="0" fontId="21" fillId="2" borderId="0" xfId="2" applyFont="1" applyFill="1" applyBorder="1"/>
    <xf numFmtId="0" fontId="10" fillId="2" borderId="0" xfId="2" applyFont="1" applyFill="1" applyBorder="1" applyAlignment="1">
      <alignment wrapText="1"/>
    </xf>
    <xf numFmtId="3" fontId="10" fillId="2" borderId="0" xfId="2" applyNumberFormat="1" applyFont="1" applyFill="1" applyBorder="1" applyAlignment="1">
      <alignment horizontal="center"/>
    </xf>
    <xf numFmtId="0" fontId="6" fillId="2" borderId="0" xfId="3" applyFont="1" applyFill="1" applyBorder="1"/>
    <xf numFmtId="0" fontId="12" fillId="2" borderId="0" xfId="3" applyFont="1" applyFill="1" applyBorder="1" applyAlignment="1">
      <alignment horizontal="center" vertical="center"/>
    </xf>
    <xf numFmtId="0" fontId="6" fillId="2" borderId="0" xfId="3" applyFont="1" applyFill="1" applyBorder="1" applyAlignment="1">
      <alignment horizontal="center" vertical="center"/>
    </xf>
    <xf numFmtId="0" fontId="13" fillId="2" borderId="0" xfId="3" applyFill="1" applyBorder="1" applyAlignment="1">
      <alignment horizontal="center" vertical="center"/>
    </xf>
    <xf numFmtId="3" fontId="12" fillId="2" borderId="0" xfId="3" applyNumberFormat="1" applyFont="1" applyFill="1" applyBorder="1" applyAlignment="1">
      <alignment horizontal="right" vertical="center"/>
    </xf>
    <xf numFmtId="3" fontId="22" fillId="2" borderId="0" xfId="3" applyNumberFormat="1" applyFont="1" applyFill="1" applyBorder="1" applyAlignment="1">
      <alignment horizontal="right" vertical="center"/>
    </xf>
    <xf numFmtId="0" fontId="12" fillId="2" borderId="0" xfId="4" applyFont="1" applyFill="1" applyBorder="1" applyAlignment="1">
      <alignment vertical="top"/>
    </xf>
    <xf numFmtId="3" fontId="3" fillId="2" borderId="0" xfId="1" applyNumberFormat="1" applyFill="1" applyBorder="1"/>
    <xf numFmtId="0" fontId="11" fillId="2" borderId="0" xfId="2" applyFont="1" applyFill="1" applyBorder="1"/>
    <xf numFmtId="3" fontId="11" fillId="2" borderId="0" xfId="2" applyNumberFormat="1" applyFont="1" applyFill="1" applyBorder="1" applyAlignment="1">
      <alignment horizontal="right"/>
    </xf>
    <xf numFmtId="0" fontId="23" fillId="2" borderId="0" xfId="2" applyFont="1" applyFill="1" applyBorder="1" applyAlignment="1">
      <alignment horizontal="left" indent="1"/>
    </xf>
    <xf numFmtId="0" fontId="12" fillId="2" borderId="0" xfId="1" applyFont="1" applyFill="1" applyBorder="1" applyAlignment="1">
      <alignment horizontal="left"/>
    </xf>
    <xf numFmtId="0" fontId="31" fillId="2" borderId="0" xfId="2" applyFont="1" applyFill="1" applyBorder="1"/>
    <xf numFmtId="3" fontId="12" fillId="2" borderId="0" xfId="2" applyNumberFormat="1" applyFont="1" applyFill="1" applyBorder="1" applyAlignment="1">
      <alignment horizontal="center"/>
    </xf>
    <xf numFmtId="1" fontId="11" fillId="2" borderId="0" xfId="2" applyNumberFormat="1" applyFont="1" applyFill="1" applyBorder="1" applyAlignment="1">
      <alignment horizontal="right"/>
    </xf>
    <xf numFmtId="3" fontId="6" fillId="2" borderId="0" xfId="2" applyNumberFormat="1" applyFont="1" applyFill="1" applyBorder="1" applyAlignment="1">
      <alignment horizontal="center"/>
    </xf>
    <xf numFmtId="0" fontId="11" fillId="2" borderId="0" xfId="2" applyFont="1" applyFill="1" applyBorder="1" applyAlignment="1">
      <alignment horizontal="left"/>
    </xf>
    <xf numFmtId="3" fontId="34" fillId="2" borderId="0" xfId="2" applyNumberFormat="1" applyFont="1" applyFill="1" applyBorder="1" applyAlignment="1">
      <alignment horizontal="center"/>
    </xf>
    <xf numFmtId="0" fontId="10" fillId="2" borderId="0" xfId="2" applyFont="1" applyFill="1" applyBorder="1" applyAlignment="1">
      <alignment horizontal="left"/>
    </xf>
    <xf numFmtId="9" fontId="6" fillId="2" borderId="0" xfId="2" applyNumberFormat="1" applyFont="1" applyFill="1" applyBorder="1" applyAlignment="1">
      <alignment horizontal="center"/>
    </xf>
    <xf numFmtId="3" fontId="6" fillId="2" borderId="0" xfId="2" applyNumberFormat="1" applyFont="1" applyFill="1" applyBorder="1"/>
    <xf numFmtId="9" fontId="6" fillId="2" borderId="0" xfId="2" applyNumberFormat="1" applyFont="1" applyFill="1" applyBorder="1" applyAlignment="1">
      <alignment horizontal="left"/>
    </xf>
    <xf numFmtId="0" fontId="15" fillId="2" borderId="52" xfId="2" applyFont="1" applyFill="1" applyBorder="1"/>
    <xf numFmtId="0" fontId="12" fillId="2" borderId="30" xfId="1" applyFont="1" applyFill="1" applyBorder="1" applyAlignment="1">
      <alignment horizontal="center" vertical="center" wrapText="1"/>
    </xf>
    <xf numFmtId="0" fontId="22" fillId="2" borderId="17" xfId="3" applyFont="1" applyFill="1" applyBorder="1"/>
    <xf numFmtId="0" fontId="12" fillId="3" borderId="53" xfId="3" applyFont="1" applyFill="1" applyBorder="1" applyAlignment="1">
      <alignment horizontal="center" vertical="top" wrapText="1"/>
    </xf>
    <xf numFmtId="0" fontId="12" fillId="2" borderId="53" xfId="3" applyFont="1" applyFill="1" applyBorder="1" applyAlignment="1">
      <alignment horizontal="center"/>
    </xf>
    <xf numFmtId="0" fontId="12" fillId="2" borderId="13" xfId="3" applyFont="1" applyFill="1" applyBorder="1" applyAlignment="1">
      <alignment horizontal="center"/>
    </xf>
    <xf numFmtId="0" fontId="12" fillId="2" borderId="13" xfId="2" applyFont="1" applyFill="1" applyBorder="1"/>
    <xf numFmtId="0" fontId="12" fillId="2" borderId="13" xfId="3" applyFont="1" applyFill="1" applyBorder="1"/>
    <xf numFmtId="0" fontId="11" fillId="3" borderId="13" xfId="2" applyFont="1" applyFill="1" applyBorder="1"/>
    <xf numFmtId="0" fontId="12" fillId="2" borderId="30" xfId="1" applyFont="1" applyFill="1" applyBorder="1" applyAlignment="1">
      <alignment horizontal="center"/>
    </xf>
    <xf numFmtId="0" fontId="3" fillId="2" borderId="2" xfId="1" applyFill="1" applyBorder="1"/>
    <xf numFmtId="0" fontId="5" fillId="2" borderId="3" xfId="2" applyFont="1" applyFill="1" applyBorder="1" applyAlignment="1">
      <alignment vertical="top"/>
    </xf>
    <xf numFmtId="0" fontId="3" fillId="2" borderId="1" xfId="1" applyFill="1" applyBorder="1"/>
    <xf numFmtId="0" fontId="19" fillId="2" borderId="1" xfId="1" applyFont="1" applyFill="1" applyBorder="1"/>
    <xf numFmtId="0" fontId="17" fillId="2" borderId="6" xfId="1" applyFont="1" applyFill="1" applyBorder="1" applyAlignment="1">
      <alignment horizontal="center" vertical="center" wrapText="1"/>
    </xf>
    <xf numFmtId="0" fontId="17" fillId="2" borderId="6" xfId="1" applyFont="1" applyFill="1" applyBorder="1" applyAlignment="1">
      <alignment horizontal="left" vertical="center" wrapText="1"/>
    </xf>
    <xf numFmtId="0" fontId="17" fillId="2" borderId="6" xfId="1" applyFont="1" applyFill="1" applyBorder="1" applyAlignment="1">
      <alignment horizontal="right" vertical="center" wrapText="1"/>
    </xf>
    <xf numFmtId="0" fontId="9" fillId="2" borderId="6" xfId="2" applyFont="1" applyFill="1" applyBorder="1"/>
    <xf numFmtId="0" fontId="9" fillId="2" borderId="7" xfId="2" applyFont="1" applyFill="1" applyBorder="1"/>
    <xf numFmtId="0" fontId="6" fillId="2" borderId="40" xfId="2" applyFont="1" applyFill="1" applyBorder="1"/>
    <xf numFmtId="0" fontId="17" fillId="2" borderId="3"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3" xfId="1" applyFont="1" applyFill="1" applyBorder="1" applyAlignment="1">
      <alignment horizontal="right" vertical="center" wrapText="1"/>
    </xf>
    <xf numFmtId="0" fontId="39" fillId="2" borderId="0" xfId="8" applyFont="1" applyFill="1" applyAlignment="1">
      <alignment horizontal="right"/>
    </xf>
    <xf numFmtId="0" fontId="39" fillId="2" borderId="0" xfId="8" applyFont="1" applyFill="1"/>
    <xf numFmtId="3" fontId="39" fillId="2" borderId="0" xfId="8" applyNumberFormat="1" applyFont="1" applyFill="1" applyAlignment="1">
      <alignment horizontal="right"/>
    </xf>
    <xf numFmtId="0" fontId="6" fillId="2" borderId="0" xfId="8" applyFont="1" applyFill="1" applyBorder="1" applyAlignment="1">
      <alignment horizontal="right"/>
    </xf>
    <xf numFmtId="0" fontId="10" fillId="2" borderId="0" xfId="8" applyFont="1" applyFill="1" applyAlignment="1">
      <alignment horizontal="left"/>
    </xf>
    <xf numFmtId="164" fontId="1" fillId="0" borderId="0" xfId="0" applyNumberFormat="1" applyFont="1" applyFill="1"/>
    <xf numFmtId="14" fontId="0" fillId="0" borderId="0" xfId="0" applyNumberFormat="1" applyFill="1" applyAlignment="1">
      <alignment vertical="center"/>
    </xf>
    <xf numFmtId="164" fontId="1" fillId="0" borderId="0" xfId="0" applyNumberFormat="1" applyFont="1" applyFill="1" applyAlignment="1">
      <alignment horizontal="center"/>
    </xf>
    <xf numFmtId="2" fontId="1" fillId="0" borderId="8" xfId="0" applyNumberFormat="1" applyFont="1" applyFill="1" applyBorder="1" applyAlignment="1">
      <alignment horizontal="center"/>
    </xf>
    <xf numFmtId="0" fontId="41" fillId="0" borderId="0" xfId="6" applyFont="1" applyFill="1"/>
    <xf numFmtId="0" fontId="41" fillId="0" borderId="0" xfId="0" applyFont="1" applyFill="1"/>
    <xf numFmtId="0" fontId="41" fillId="0" borderId="25" xfId="0" applyFont="1" applyFill="1" applyBorder="1"/>
    <xf numFmtId="0" fontId="41" fillId="0" borderId="26" xfId="0" applyFont="1" applyFill="1" applyBorder="1"/>
    <xf numFmtId="0" fontId="41" fillId="0" borderId="0" xfId="0" applyFont="1" applyFill="1" applyBorder="1"/>
    <xf numFmtId="0" fontId="41" fillId="0" borderId="27" xfId="0" applyFont="1" applyFill="1" applyBorder="1"/>
    <xf numFmtId="0" fontId="41" fillId="0" borderId="28" xfId="0" applyNumberFormat="1" applyFont="1" applyFill="1" applyBorder="1"/>
    <xf numFmtId="0" fontId="41" fillId="0" borderId="0" xfId="0" applyNumberFormat="1" applyFont="1" applyFill="1" applyBorder="1"/>
    <xf numFmtId="0" fontId="41" fillId="0" borderId="0" xfId="7" applyFont="1" applyFill="1"/>
    <xf numFmtId="0" fontId="41" fillId="0" borderId="0" xfId="6" applyFont="1" applyFill="1" applyBorder="1"/>
    <xf numFmtId="0" fontId="41" fillId="0" borderId="0" xfId="6" applyFont="1"/>
    <xf numFmtId="0" fontId="41" fillId="0" borderId="0" xfId="0" applyFont="1"/>
    <xf numFmtId="0" fontId="41" fillId="0" borderId="32" xfId="0" applyFont="1" applyFill="1" applyBorder="1"/>
    <xf numFmtId="0" fontId="41" fillId="0" borderId="33" xfId="0" applyFont="1" applyFill="1" applyBorder="1"/>
    <xf numFmtId="0" fontId="41" fillId="0" borderId="34" xfId="0" applyFont="1" applyFill="1" applyBorder="1"/>
    <xf numFmtId="0" fontId="41" fillId="0" borderId="0" xfId="0" pivotButton="1" applyFont="1" applyFill="1"/>
    <xf numFmtId="0" fontId="41" fillId="0" borderId="35" xfId="0" applyFont="1" applyFill="1" applyBorder="1" applyAlignment="1">
      <alignment horizontal="left"/>
    </xf>
    <xf numFmtId="0" fontId="41" fillId="0" borderId="36" xfId="0" applyNumberFormat="1" applyFont="1" applyFill="1" applyBorder="1"/>
    <xf numFmtId="0" fontId="41" fillId="0" borderId="37" xfId="0" applyFont="1" applyFill="1" applyBorder="1" applyAlignment="1">
      <alignment horizontal="left"/>
    </xf>
    <xf numFmtId="0" fontId="41" fillId="0" borderId="38" xfId="0" applyNumberFormat="1" applyFont="1" applyFill="1" applyBorder="1"/>
    <xf numFmtId="0" fontId="41" fillId="0" borderId="39" xfId="0" applyNumberFormat="1" applyFont="1" applyFill="1" applyBorder="1"/>
    <xf numFmtId="0" fontId="41" fillId="0" borderId="0" xfId="0" pivotButton="1" applyFont="1"/>
    <xf numFmtId="0" fontId="41" fillId="0" borderId="32" xfId="0" applyFont="1" applyFill="1" applyBorder="1" applyAlignment="1">
      <alignment horizontal="left" vertical="top" wrapText="1"/>
    </xf>
    <xf numFmtId="0" fontId="41" fillId="0" borderId="33" xfId="0" applyFont="1" applyFill="1" applyBorder="1" applyAlignment="1">
      <alignment horizontal="left" vertical="top" wrapText="1"/>
    </xf>
    <xf numFmtId="0" fontId="41" fillId="0" borderId="34" xfId="0" applyFont="1" applyFill="1" applyBorder="1" applyAlignment="1">
      <alignment horizontal="left" vertical="top" wrapText="1"/>
    </xf>
    <xf numFmtId="164" fontId="41" fillId="0" borderId="37" xfId="0" applyNumberFormat="1" applyFont="1" applyFill="1" applyBorder="1"/>
    <xf numFmtId="164" fontId="41" fillId="0" borderId="38" xfId="0" applyNumberFormat="1" applyFont="1" applyFill="1" applyBorder="1"/>
    <xf numFmtId="164" fontId="41" fillId="0" borderId="39" xfId="0" applyNumberFormat="1" applyFont="1" applyFill="1" applyBorder="1"/>
    <xf numFmtId="2" fontId="41" fillId="0" borderId="0" xfId="0" applyNumberFormat="1" applyFont="1" applyFill="1" applyBorder="1"/>
    <xf numFmtId="164" fontId="41" fillId="0" borderId="0" xfId="0" applyNumberFormat="1" applyFont="1" applyFill="1" applyBorder="1"/>
    <xf numFmtId="164" fontId="41" fillId="0" borderId="36" xfId="0" applyNumberFormat="1" applyFont="1" applyFill="1" applyBorder="1"/>
    <xf numFmtId="2" fontId="41" fillId="0" borderId="38" xfId="0" applyNumberFormat="1" applyFont="1" applyFill="1" applyBorder="1"/>
    <xf numFmtId="0" fontId="35" fillId="2" borderId="41"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35" fillId="2" borderId="41" xfId="0" applyFont="1" applyFill="1" applyBorder="1" applyAlignment="1">
      <alignment horizontal="left" vertical="center"/>
    </xf>
    <xf numFmtId="0" fontId="35" fillId="2" borderId="23" xfId="0" applyFont="1" applyFill="1" applyBorder="1" applyAlignment="1">
      <alignment horizontal="left" vertical="center"/>
    </xf>
    <xf numFmtId="0" fontId="18" fillId="3" borderId="41"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2" fillId="2" borderId="30" xfId="2" applyFont="1" applyFill="1" applyBorder="1" applyAlignment="1">
      <alignment horizontal="left" vertical="center"/>
    </xf>
    <xf numFmtId="0" fontId="12" fillId="2" borderId="15" xfId="2" applyFont="1" applyFill="1" applyBorder="1" applyAlignment="1">
      <alignment horizontal="left" vertical="center"/>
    </xf>
    <xf numFmtId="0" fontId="11" fillId="3" borderId="30" xfId="2" applyFont="1" applyFill="1" applyBorder="1" applyAlignment="1">
      <alignment horizontal="left" vertical="center"/>
    </xf>
    <xf numFmtId="0" fontId="11" fillId="3" borderId="15" xfId="2" applyFont="1" applyFill="1" applyBorder="1" applyAlignment="1">
      <alignment horizontal="left" vertical="center"/>
    </xf>
    <xf numFmtId="9" fontId="6" fillId="3" borderId="41" xfId="2" applyNumberFormat="1" applyFont="1" applyFill="1" applyBorder="1" applyAlignment="1">
      <alignment horizontal="left"/>
    </xf>
    <xf numFmtId="9" fontId="6" fillId="3" borderId="23" xfId="2" applyNumberFormat="1" applyFont="1" applyFill="1" applyBorder="1" applyAlignment="1">
      <alignment horizontal="left"/>
    </xf>
    <xf numFmtId="0" fontId="35" fillId="3" borderId="23" xfId="0" applyFont="1" applyFill="1" applyBorder="1" applyAlignment="1">
      <alignment horizontal="center" vertical="center" wrapText="1"/>
    </xf>
    <xf numFmtId="0" fontId="12" fillId="3" borderId="30" xfId="2" applyFont="1" applyFill="1" applyBorder="1" applyAlignment="1">
      <alignment horizontal="center"/>
    </xf>
    <xf numFmtId="0" fontId="12" fillId="3" borderId="15" xfId="2" applyFont="1" applyFill="1" applyBorder="1" applyAlignment="1">
      <alignment horizontal="center"/>
    </xf>
    <xf numFmtId="0" fontId="35" fillId="2" borderId="30" xfId="0" applyFont="1" applyFill="1" applyBorder="1" applyAlignment="1">
      <alignment horizontal="left"/>
    </xf>
    <xf numFmtId="0" fontId="35" fillId="2" borderId="15" xfId="0" applyFont="1" applyFill="1" applyBorder="1" applyAlignment="1">
      <alignment horizontal="left"/>
    </xf>
    <xf numFmtId="0" fontId="11" fillId="3" borderId="30" xfId="2" applyFont="1" applyFill="1" applyBorder="1" applyAlignment="1">
      <alignment horizontal="left"/>
    </xf>
    <xf numFmtId="0" fontId="11" fillId="3" borderId="15" xfId="2" applyFont="1" applyFill="1" applyBorder="1" applyAlignment="1">
      <alignment horizontal="left"/>
    </xf>
    <xf numFmtId="0" fontId="12" fillId="2" borderId="30" xfId="0" applyFont="1" applyFill="1" applyBorder="1" applyAlignment="1">
      <alignment horizontal="left"/>
    </xf>
    <xf numFmtId="0" fontId="12" fillId="2" borderId="15" xfId="0" applyFont="1" applyFill="1" applyBorder="1" applyAlignment="1">
      <alignment horizontal="left"/>
    </xf>
    <xf numFmtId="0" fontId="11" fillId="3" borderId="30" xfId="2" applyFont="1" applyFill="1" applyBorder="1"/>
    <xf numFmtId="0" fontId="11" fillId="3" borderId="15" xfId="2" applyFont="1" applyFill="1" applyBorder="1"/>
    <xf numFmtId="3" fontId="12" fillId="2" borderId="15" xfId="3" applyNumberFormat="1" applyFont="1" applyFill="1" applyBorder="1" applyAlignment="1">
      <alignment horizontal="left"/>
    </xf>
    <xf numFmtId="0" fontId="35" fillId="2" borderId="51" xfId="0" applyFont="1" applyFill="1" applyBorder="1" applyAlignment="1">
      <alignment horizontal="left"/>
    </xf>
    <xf numFmtId="3" fontId="12" fillId="2" borderId="30" xfId="3" applyNumberFormat="1" applyFont="1" applyFill="1" applyBorder="1" applyAlignment="1">
      <alignment horizontal="left"/>
    </xf>
    <xf numFmtId="3" fontId="12" fillId="2" borderId="31" xfId="3" applyNumberFormat="1" applyFont="1" applyFill="1" applyBorder="1" applyAlignment="1">
      <alignment horizontal="left"/>
    </xf>
    <xf numFmtId="0" fontId="11" fillId="3" borderId="54" xfId="2" applyFont="1" applyFill="1" applyBorder="1" applyAlignment="1">
      <alignment horizontal="center"/>
    </xf>
    <xf numFmtId="0" fontId="11" fillId="3" borderId="30" xfId="2" applyFont="1" applyFill="1" applyBorder="1" applyAlignment="1">
      <alignment horizontal="center"/>
    </xf>
    <xf numFmtId="9" fontId="11" fillId="3" borderId="31" xfId="10" applyFont="1" applyFill="1" applyBorder="1" applyAlignment="1">
      <alignment horizontal="center"/>
    </xf>
    <xf numFmtId="9" fontId="11" fillId="3" borderId="30" xfId="10" applyFont="1" applyFill="1" applyBorder="1" applyAlignment="1">
      <alignment horizontal="center"/>
    </xf>
    <xf numFmtId="9" fontId="11" fillId="3" borderId="31" xfId="10" applyNumberFormat="1" applyFont="1" applyFill="1" applyBorder="1" applyAlignment="1">
      <alignment horizontal="center"/>
    </xf>
    <xf numFmtId="9" fontId="11" fillId="3" borderId="30" xfId="10" applyNumberFormat="1" applyFont="1" applyFill="1" applyBorder="1" applyAlignment="1">
      <alignment horizontal="center"/>
    </xf>
    <xf numFmtId="9" fontId="12" fillId="2" borderId="31" xfId="10" applyFont="1" applyFill="1" applyBorder="1" applyAlignment="1">
      <alignment horizontal="center"/>
    </xf>
    <xf numFmtId="9" fontId="12" fillId="2" borderId="30" xfId="10" applyFont="1" applyFill="1" applyBorder="1" applyAlignment="1">
      <alignment horizontal="center"/>
    </xf>
    <xf numFmtId="0" fontId="11" fillId="3" borderId="31" xfId="2" applyFont="1" applyFill="1" applyBorder="1" applyAlignment="1">
      <alignment horizontal="center" vertical="center" wrapText="1"/>
    </xf>
    <xf numFmtId="0" fontId="11" fillId="3" borderId="30" xfId="2" applyFont="1" applyFill="1" applyBorder="1" applyAlignment="1">
      <alignment horizontal="center" vertical="center" wrapText="1"/>
    </xf>
    <xf numFmtId="165" fontId="11" fillId="3" borderId="31" xfId="13" applyNumberFormat="1" applyFont="1" applyFill="1" applyBorder="1" applyAlignment="1">
      <alignment horizontal="center" vertical="center"/>
    </xf>
    <xf numFmtId="165" fontId="11" fillId="3" borderId="30" xfId="13" applyNumberFormat="1" applyFont="1" applyFill="1" applyBorder="1" applyAlignment="1">
      <alignment horizontal="center" vertical="center"/>
    </xf>
    <xf numFmtId="165" fontId="12" fillId="2" borderId="31" xfId="13" applyNumberFormat="1" applyFont="1" applyFill="1" applyBorder="1" applyAlignment="1">
      <alignment horizontal="center" vertical="center"/>
    </xf>
    <xf numFmtId="165" fontId="12" fillId="2" borderId="30" xfId="13" applyNumberFormat="1" applyFont="1" applyFill="1" applyBorder="1" applyAlignment="1">
      <alignment horizontal="center" vertical="center"/>
    </xf>
    <xf numFmtId="165" fontId="11" fillId="2" borderId="31" xfId="13" applyNumberFormat="1" applyFont="1" applyFill="1" applyBorder="1" applyAlignment="1">
      <alignment horizontal="center" vertical="center"/>
    </xf>
    <xf numFmtId="165" fontId="11" fillId="2" borderId="30" xfId="13" applyNumberFormat="1" applyFont="1" applyFill="1" applyBorder="1" applyAlignment="1">
      <alignment horizontal="center" vertical="center"/>
    </xf>
    <xf numFmtId="0" fontId="12" fillId="2" borderId="54" xfId="2" applyFont="1" applyFill="1" applyBorder="1" applyAlignment="1">
      <alignment horizontal="center"/>
    </xf>
    <xf numFmtId="0" fontId="12" fillId="2" borderId="30" xfId="2" applyFont="1" applyFill="1" applyBorder="1" applyAlignment="1">
      <alignment horizontal="center"/>
    </xf>
    <xf numFmtId="0" fontId="11" fillId="2" borderId="54" xfId="2" applyFont="1" applyFill="1" applyBorder="1" applyAlignment="1">
      <alignment horizontal="center"/>
    </xf>
    <xf numFmtId="0" fontId="11" fillId="2" borderId="30" xfId="2" applyFont="1" applyFill="1" applyBorder="1" applyAlignment="1">
      <alignment horizontal="center"/>
    </xf>
    <xf numFmtId="0" fontId="11" fillId="3" borderId="15" xfId="2" applyFont="1" applyFill="1" applyBorder="1" applyAlignment="1">
      <alignment horizontal="center" vertical="center" wrapText="1"/>
    </xf>
    <xf numFmtId="0" fontId="12" fillId="2" borderId="15" xfId="1" applyFont="1" applyFill="1" applyBorder="1" applyAlignment="1">
      <alignment horizontal="left" vertical="center" wrapText="1"/>
    </xf>
    <xf numFmtId="0" fontId="12" fillId="2" borderId="15" xfId="1" applyFont="1" applyFill="1" applyBorder="1" applyAlignment="1">
      <alignment horizontal="center" vertical="center" wrapText="1"/>
    </xf>
    <xf numFmtId="0" fontId="12" fillId="2" borderId="15" xfId="2" applyFont="1" applyFill="1" applyBorder="1" applyAlignment="1">
      <alignment horizontal="center"/>
    </xf>
    <xf numFmtId="0" fontId="12" fillId="2" borderId="31" xfId="2" applyFont="1" applyFill="1" applyBorder="1" applyAlignment="1">
      <alignment horizontal="center"/>
    </xf>
    <xf numFmtId="0" fontId="12" fillId="2" borderId="30" xfId="3" applyFont="1" applyFill="1" applyBorder="1"/>
    <xf numFmtId="0" fontId="12" fillId="2" borderId="15" xfId="3" applyFont="1" applyFill="1" applyBorder="1"/>
    <xf numFmtId="0" fontId="18" fillId="3" borderId="51"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2" fillId="2" borderId="51" xfId="0" applyFont="1" applyFill="1" applyBorder="1" applyAlignment="1">
      <alignment horizontal="left" vertical="center" wrapText="1"/>
    </xf>
    <xf numFmtId="0" fontId="12" fillId="2" borderId="30" xfId="0" applyFont="1" applyFill="1" applyBorder="1" applyAlignment="1">
      <alignment horizontal="left" vertical="center" wrapText="1"/>
    </xf>
    <xf numFmtId="3" fontId="12" fillId="2" borderId="31" xfId="0" applyNumberFormat="1" applyFont="1" applyFill="1" applyBorder="1" applyAlignment="1">
      <alignment horizontal="center" vertical="center" wrapText="1"/>
    </xf>
    <xf numFmtId="3" fontId="12" fillId="2" borderId="30" xfId="0" applyNumberFormat="1" applyFont="1" applyFill="1" applyBorder="1" applyAlignment="1">
      <alignment horizontal="center" vertical="center" wrapText="1"/>
    </xf>
    <xf numFmtId="0" fontId="10" fillId="3" borderId="30" xfId="2" applyFont="1" applyFill="1" applyBorder="1" applyAlignment="1">
      <alignment horizontal="center"/>
    </xf>
    <xf numFmtId="0" fontId="10" fillId="3" borderId="15" xfId="2" applyFont="1" applyFill="1" applyBorder="1" applyAlignment="1">
      <alignment horizontal="center"/>
    </xf>
    <xf numFmtId="0" fontId="11" fillId="3" borderId="10" xfId="2" applyFont="1" applyFill="1" applyBorder="1" applyAlignment="1">
      <alignment horizontal="center" vertical="top" wrapText="1"/>
    </xf>
    <xf numFmtId="0" fontId="11" fillId="3" borderId="11"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12" fillId="2" borderId="13" xfId="2" applyFont="1" applyFill="1" applyBorder="1" applyAlignment="1">
      <alignment horizontal="left" wrapText="1"/>
    </xf>
    <xf numFmtId="0" fontId="12" fillId="2" borderId="10" xfId="2" applyFont="1" applyFill="1" applyBorder="1" applyAlignment="1">
      <alignment horizontal="left" wrapText="1"/>
    </xf>
    <xf numFmtId="0" fontId="11" fillId="3" borderId="10" xfId="2" applyFont="1" applyFill="1" applyBorder="1" applyAlignment="1">
      <alignment horizontal="center" vertical="center" wrapText="1"/>
    </xf>
    <xf numFmtId="0" fontId="11" fillId="3" borderId="15" xfId="2" applyFont="1" applyFill="1" applyBorder="1" applyAlignment="1">
      <alignment horizontal="center"/>
    </xf>
    <xf numFmtId="9" fontId="11" fillId="3" borderId="15" xfId="10" applyFont="1" applyFill="1" applyBorder="1" applyAlignment="1">
      <alignment horizontal="center"/>
    </xf>
    <xf numFmtId="9" fontId="11" fillId="3" borderId="15" xfId="10" applyNumberFormat="1" applyFont="1" applyFill="1" applyBorder="1" applyAlignment="1">
      <alignment horizontal="center"/>
    </xf>
    <xf numFmtId="0" fontId="11" fillId="3" borderId="30" xfId="3" applyFont="1" applyFill="1" applyBorder="1" applyAlignment="1">
      <alignment wrapText="1"/>
    </xf>
    <xf numFmtId="0" fontId="11" fillId="3" borderId="15" xfId="3" applyFont="1" applyFill="1" applyBorder="1" applyAlignment="1">
      <alignment wrapText="1"/>
    </xf>
    <xf numFmtId="0" fontId="11" fillId="3" borderId="51" xfId="0" applyFont="1" applyFill="1" applyBorder="1" applyAlignment="1">
      <alignment horizontal="left" vertical="center" wrapText="1"/>
    </xf>
    <xf numFmtId="0" fontId="11" fillId="3" borderId="30" xfId="0" applyFont="1" applyFill="1" applyBorder="1" applyAlignment="1">
      <alignment horizontal="left" vertical="center" wrapText="1"/>
    </xf>
    <xf numFmtId="3" fontId="11" fillId="3" borderId="31" xfId="0" applyNumberFormat="1" applyFont="1" applyFill="1" applyBorder="1" applyAlignment="1">
      <alignment horizontal="center" vertical="center" wrapText="1"/>
    </xf>
    <xf numFmtId="3" fontId="11" fillId="3" borderId="30" xfId="0" applyNumberFormat="1" applyFont="1" applyFill="1" applyBorder="1" applyAlignment="1">
      <alignment horizontal="center" vertical="center" wrapText="1"/>
    </xf>
    <xf numFmtId="0" fontId="11" fillId="3" borderId="51" xfId="2" applyFont="1" applyFill="1" applyBorder="1" applyAlignment="1">
      <alignment horizontal="center"/>
    </xf>
    <xf numFmtId="1" fontId="11" fillId="3" borderId="15" xfId="10" applyNumberFormat="1" applyFont="1" applyFill="1" applyBorder="1" applyAlignment="1">
      <alignment horizontal="center"/>
    </xf>
    <xf numFmtId="1" fontId="11" fillId="3" borderId="31" xfId="10" applyNumberFormat="1" applyFont="1" applyFill="1" applyBorder="1" applyAlignment="1">
      <alignment horizontal="center"/>
    </xf>
    <xf numFmtId="1" fontId="11" fillId="3" borderId="30" xfId="10" applyNumberFormat="1" applyFont="1" applyFill="1" applyBorder="1" applyAlignment="1">
      <alignment horizont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26" fillId="2" borderId="0" xfId="2" applyFont="1" applyFill="1" applyAlignment="1">
      <alignment horizontal="center"/>
    </xf>
    <xf numFmtId="0" fontId="11" fillId="3" borderId="11" xfId="2" applyFont="1" applyFill="1" applyBorder="1" applyAlignment="1">
      <alignment horizontal="center"/>
    </xf>
    <xf numFmtId="0" fontId="11" fillId="3" borderId="13" xfId="2" applyFont="1" applyFill="1" applyBorder="1" applyAlignment="1">
      <alignment horizontal="center"/>
    </xf>
    <xf numFmtId="0" fontId="11" fillId="3" borderId="21" xfId="2" applyFont="1" applyFill="1" applyBorder="1" applyAlignment="1">
      <alignment horizontal="center" wrapText="1"/>
    </xf>
    <xf numFmtId="0" fontId="11" fillId="3" borderId="22" xfId="2" applyFont="1" applyFill="1" applyBorder="1" applyAlignment="1">
      <alignment horizontal="center"/>
    </xf>
    <xf numFmtId="0" fontId="26" fillId="2" borderId="0" xfId="2" applyFont="1" applyFill="1" applyAlignment="1">
      <alignment horizontal="center" vertical="center" wrapText="1"/>
    </xf>
    <xf numFmtId="0" fontId="11" fillId="4" borderId="42" xfId="11" applyFont="1" applyFill="1" applyBorder="1" applyAlignment="1">
      <alignment horizontal="right" vertical="center" wrapText="1" indent="3"/>
    </xf>
    <xf numFmtId="0" fontId="11" fillId="4" borderId="49" xfId="11" applyFont="1" applyFill="1" applyBorder="1" applyAlignment="1">
      <alignment horizontal="right" vertical="center" wrapText="1" indent="3"/>
    </xf>
    <xf numFmtId="0" fontId="11" fillId="4" borderId="14" xfId="8" applyFont="1" applyFill="1" applyBorder="1" applyAlignment="1">
      <alignment horizontal="left" vertical="center" wrapText="1"/>
    </xf>
    <xf numFmtId="0" fontId="11" fillId="4" borderId="8" xfId="8" applyFont="1" applyFill="1" applyBorder="1" applyAlignment="1">
      <alignment horizontal="left" vertical="center" wrapText="1"/>
    </xf>
    <xf numFmtId="0" fontId="11" fillId="4" borderId="16" xfId="8" applyFont="1" applyFill="1" applyBorder="1" applyAlignment="1">
      <alignment horizontal="left" vertical="center" wrapText="1"/>
    </xf>
    <xf numFmtId="0" fontId="11" fillId="4" borderId="5" xfId="8" applyFont="1" applyFill="1" applyBorder="1" applyAlignment="1">
      <alignment horizontal="left" vertical="center" wrapText="1"/>
    </xf>
    <xf numFmtId="0" fontId="40" fillId="4" borderId="42" xfId="11" applyFont="1" applyFill="1" applyBorder="1" applyAlignment="1">
      <alignment horizontal="left" vertical="center"/>
    </xf>
    <xf numFmtId="0" fontId="40" fillId="4" borderId="43" xfId="11" applyFont="1" applyFill="1" applyBorder="1" applyAlignment="1">
      <alignment horizontal="left" vertical="center"/>
    </xf>
    <xf numFmtId="0" fontId="40" fillId="4" borderId="44" xfId="11" applyFont="1" applyFill="1" applyBorder="1" applyAlignment="1">
      <alignment horizontal="left" vertical="center"/>
    </xf>
    <xf numFmtId="0" fontId="11" fillId="4" borderId="45" xfId="11" applyFont="1" applyFill="1" applyBorder="1" applyAlignment="1">
      <alignment horizontal="right" vertical="center" indent="3"/>
    </xf>
    <xf numFmtId="0" fontId="11" fillId="4" borderId="13" xfId="11" applyFont="1" applyFill="1" applyBorder="1" applyAlignment="1">
      <alignment horizontal="right" vertical="center" indent="3"/>
    </xf>
    <xf numFmtId="0" fontId="11" fillId="4" borderId="11" xfId="11" applyFont="1" applyFill="1" applyBorder="1" applyAlignment="1">
      <alignment horizontal="center" vertical="center"/>
    </xf>
    <xf numFmtId="0" fontId="11" fillId="4" borderId="12" xfId="11" applyFont="1" applyFill="1" applyBorder="1" applyAlignment="1">
      <alignment horizontal="center" vertical="center"/>
    </xf>
    <xf numFmtId="0" fontId="11" fillId="4" borderId="13" xfId="11" applyFont="1" applyFill="1" applyBorder="1" applyAlignment="1">
      <alignment horizontal="center" vertical="center"/>
    </xf>
    <xf numFmtId="3" fontId="11" fillId="4" borderId="11" xfId="12" applyNumberFormat="1" applyFont="1" applyFill="1" applyBorder="1" applyAlignment="1">
      <alignment horizontal="center" vertical="center"/>
    </xf>
    <xf numFmtId="3" fontId="11" fillId="4" borderId="12" xfId="12" applyNumberFormat="1" applyFont="1" applyFill="1" applyBorder="1" applyAlignment="1">
      <alignment horizontal="center" vertical="center"/>
    </xf>
    <xf numFmtId="3" fontId="11" fillId="4" borderId="13" xfId="12" applyNumberFormat="1" applyFont="1" applyFill="1" applyBorder="1" applyAlignment="1">
      <alignment horizontal="center" vertical="center"/>
    </xf>
    <xf numFmtId="3" fontId="11" fillId="4" borderId="12" xfId="11" applyNumberFormat="1" applyFont="1" applyFill="1" applyBorder="1" applyAlignment="1">
      <alignment horizontal="center" vertical="center"/>
    </xf>
    <xf numFmtId="3" fontId="11" fillId="4" borderId="46" xfId="11" applyNumberFormat="1" applyFont="1" applyFill="1" applyBorder="1" applyAlignment="1">
      <alignment horizontal="center" vertical="center"/>
    </xf>
    <xf numFmtId="0" fontId="11" fillId="4" borderId="8" xfId="8" applyFont="1" applyFill="1" applyBorder="1" applyAlignment="1">
      <alignment horizontal="right" vertical="center" indent="3"/>
    </xf>
    <xf numFmtId="0" fontId="11" fillId="4" borderId="47" xfId="8" applyFont="1" applyFill="1" applyBorder="1" applyAlignment="1">
      <alignment horizontal="right" vertical="center" indent="3"/>
    </xf>
  </cellXfs>
  <cellStyles count="14">
    <cellStyle name="Comma" xfId="13" builtinId="3"/>
    <cellStyle name="Comma 2" xfId="5" xr:uid="{902B9ED6-D046-43B1-B35F-2E4851F2B10B}"/>
    <cellStyle name="Normal" xfId="0" builtinId="0"/>
    <cellStyle name="Normal 16" xfId="9" xr:uid="{C466E6EC-CB9C-4FA9-A5AD-B30D528F5468}"/>
    <cellStyle name="Normal 28" xfId="1" xr:uid="{07CE544D-03ED-4B2D-8880-C9F941614B42}"/>
    <cellStyle name="Normal 29" xfId="6" xr:uid="{54CBAB96-2244-4A3C-90A5-B3EA2B81E820}"/>
    <cellStyle name="Normal 30" xfId="7" xr:uid="{0F3F6B71-DEFA-4D3D-8328-55E9618283E9}"/>
    <cellStyle name="Normal 33" xfId="8" xr:uid="{27EE090F-B976-4F6F-9D22-645D2C31E0A8}"/>
    <cellStyle name="Normal_Sheet1_3" xfId="11" xr:uid="{6630D1B1-B18B-4CBD-A885-57AE1207654A}"/>
    <cellStyle name="Normal_Sheet2_1" xfId="2" xr:uid="{3C095B82-8F3C-4304-8DAC-EC9F519BB3D9}"/>
    <cellStyle name="Normal_Sheet4_1" xfId="4" xr:uid="{7C26D442-98B5-4C6E-8DC1-04433132C17B}"/>
    <cellStyle name="Normal_Summary Tables" xfId="3" xr:uid="{41DE3BF7-EC13-4F25-8FB0-66B20E55A92D}"/>
    <cellStyle name="Normal_Trajectory" xfId="12" xr:uid="{6232F4DC-4C17-41BA-8A83-128132F369B1}"/>
    <cellStyle name="Percent" xfId="10" builtinId="5"/>
  </cellStyles>
  <dxfs count="2467">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numFmt numFmtId="2" formatCode="0.00"/>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numFmt numFmtId="164" formatCode="0.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bgColor theme="8" tint="0.79998168889431442"/>
        </patternFill>
      </fill>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vertical="top"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ont>
        <color rgb="FFFF0000"/>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ont>
        <b val="0"/>
      </font>
    </dxf>
    <dxf>
      <font>
        <b val="0"/>
      </font>
    </dxf>
    <dxf>
      <font>
        <b val="0"/>
      </font>
    </dxf>
    <dxf>
      <font>
        <b val="0"/>
      </font>
    </dxf>
    <dxf>
      <font>
        <b val="0"/>
      </font>
    </dxf>
    <dxf>
      <font>
        <b val="0"/>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alignment wrapText="1" readingOrder="0"/>
    </dxf>
    <dxf>
      <alignment wrapText="1" readingOrder="0"/>
    </dxf>
    <dxf>
      <alignment vertical="top" readingOrder="0"/>
    </dxf>
    <dxf>
      <alignment vertical="top" readingOrder="0"/>
    </dxf>
    <dxf>
      <alignment horizontal="left" readingOrder="0"/>
    </dxf>
    <dxf>
      <alignment horizontal="left" readingOrder="0"/>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ill>
        <patternFill patternType="none">
          <bgColor auto="1"/>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ill>
        <patternFill patternType="none">
          <bgColor auto="1"/>
        </patternFill>
      </fill>
    </dxf>
    <dxf>
      <font>
        <sz val="10"/>
      </font>
    </dxf>
    <dxf>
      <font>
        <sz val="10"/>
      </font>
    </dxf>
    <dxf>
      <font>
        <sz val="10"/>
      </font>
    </dxf>
    <dxf>
      <font>
        <color auto="1"/>
      </font>
    </dxf>
    <dxf>
      <font>
        <color auto="1"/>
      </font>
    </dxf>
    <dxf>
      <font>
        <color auto="1"/>
      </font>
    </dxf>
    <dxf>
      <fill>
        <patternFill patternType="solid">
          <bgColor rgb="FFFFFF00"/>
        </patternFill>
      </fill>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sz val="10"/>
      </font>
    </dxf>
    <dxf>
      <font>
        <sz val="10"/>
      </font>
    </dxf>
    <dxf>
      <font>
        <sz val="10"/>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sz val="10"/>
      </font>
    </dxf>
    <dxf>
      <font>
        <sz val="10"/>
      </font>
    </dxf>
    <dxf>
      <font>
        <sz val="10"/>
      </font>
    </dxf>
    <dxf>
      <font>
        <color auto="1"/>
      </font>
    </dxf>
    <dxf>
      <font>
        <color auto="1"/>
      </font>
    </dxf>
    <dxf>
      <font>
        <color auto="1"/>
      </font>
    </dxf>
    <dxf>
      <font>
        <b val="0"/>
      </font>
    </dxf>
    <dxf>
      <font>
        <b val="0"/>
      </font>
    </dxf>
    <dxf>
      <font>
        <b val="0"/>
      </font>
    </dxf>
    <dxf>
      <fill>
        <patternFill>
          <bgColor auto="1"/>
        </patternFill>
      </fill>
    </dxf>
    <dxf>
      <fill>
        <patternFill>
          <bgColor auto="1"/>
        </patternFill>
      </fill>
    </dxf>
    <dxf>
      <fill>
        <patternFill>
          <bgColor auto="1"/>
        </patternFill>
      </fill>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ont>
        <color auto="1"/>
      </font>
    </dxf>
    <dxf>
      <font>
        <b val="0"/>
      </font>
    </dxf>
    <dxf>
      <fill>
        <patternFill patternType="none">
          <bgColor auto="1"/>
        </patternFill>
      </fill>
    </dxf>
    <dxf>
      <border>
        <left style="medium">
          <color indexed="64"/>
        </left>
        <right style="medium">
          <color indexed="64"/>
        </right>
        <top style="medium">
          <color indexed="64"/>
        </top>
        <bottom style="medium">
          <color indexed="64"/>
        </bottom>
      </border>
    </dxf>
    <dxf>
      <font>
        <sz val="11"/>
      </font>
    </dxf>
    <dxf>
      <border>
        <left style="medium">
          <color indexed="64"/>
        </left>
        <right style="medium">
          <color indexed="64"/>
        </right>
        <top style="medium">
          <color indexed="64"/>
        </top>
        <bottom style="medium">
          <color indexed="64"/>
        </bottom>
      </border>
    </dxf>
    <dxf>
      <fill>
        <patternFill patternType="none">
          <bgColor auto="1"/>
        </patternFill>
      </fill>
    </dxf>
    <dxf>
      <border>
        <left/>
        <right/>
        <top/>
        <bottom/>
        <vertical/>
        <horizontal/>
      </border>
    </dxf>
    <dxf>
      <font>
        <sz val="8"/>
      </font>
    </dxf>
    <dxf>
      <border>
        <left style="medium">
          <color indexed="64"/>
        </left>
        <right style="medium">
          <color indexed="64"/>
        </right>
        <top style="medium">
          <color indexed="64"/>
        </top>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ivotCacheDefinition" Target="pivotCache/pivotCacheDefinition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pivotCacheDefinition" Target="pivotCache/pivotCacheDefinition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6.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pivotCacheDefinition" Target="pivotCache/pivotCacheDefinition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900" b="0"/>
              <a:t>Breakdown of development pipeline (net dwellings)</a:t>
            </a:r>
          </a:p>
        </c:rich>
      </c:tx>
      <c:layout>
        <c:manualLayout>
          <c:xMode val="edge"/>
          <c:yMode val="edge"/>
          <c:x val="0.13378677929811045"/>
          <c:y val="4.1043553766305536E-3"/>
        </c:manualLayout>
      </c:layout>
      <c:overlay val="0"/>
      <c:spPr>
        <a:noFill/>
        <a:ln w="25400">
          <a:noFill/>
        </a:ln>
      </c:spPr>
    </c:title>
    <c:autoTitleDeleted val="0"/>
    <c:plotArea>
      <c:layout>
        <c:manualLayout>
          <c:layoutTarget val="inner"/>
          <c:xMode val="edge"/>
          <c:yMode val="edge"/>
          <c:x val="0.10163788736934198"/>
          <c:y val="0.12198068991376078"/>
          <c:w val="0.82010429617350467"/>
          <c:h val="0.73208941299399188"/>
        </c:manualLayout>
      </c:layout>
      <c:barChart>
        <c:barDir val="col"/>
        <c:grouping val="clustered"/>
        <c:varyColors val="0"/>
        <c:ser>
          <c:idx val="0"/>
          <c:order val="0"/>
          <c:spPr>
            <a:solidFill>
              <a:srgbClr val="0070C0"/>
            </a:solidFill>
            <a:ln w="12700">
              <a:solidFill>
                <a:srgbClr val="0070C0"/>
              </a:solidFill>
              <a:prstDash val="solid"/>
            </a:ln>
          </c:spPr>
          <c:invertIfNegative val="0"/>
          <c:dPt>
            <c:idx val="0"/>
            <c:invertIfNegative val="0"/>
            <c:bubble3D val="0"/>
            <c:extLst>
              <c:ext xmlns:c16="http://schemas.microsoft.com/office/drawing/2014/chart" uri="{C3380CC4-5D6E-409C-BE32-E72D297353CC}">
                <c16:uniqueId val="{00000000-68C0-44D4-8E2D-0E6C3C1F5B03}"/>
              </c:ext>
            </c:extLst>
          </c:dPt>
          <c:dPt>
            <c:idx val="1"/>
            <c:invertIfNegative val="0"/>
            <c:bubble3D val="0"/>
            <c:extLst>
              <c:ext xmlns:c16="http://schemas.microsoft.com/office/drawing/2014/chart" uri="{C3380CC4-5D6E-409C-BE32-E72D297353CC}">
                <c16:uniqueId val="{00000001-68C0-44D4-8E2D-0E6C3C1F5B03}"/>
              </c:ext>
            </c:extLst>
          </c:dPt>
          <c:dPt>
            <c:idx val="2"/>
            <c:invertIfNegative val="0"/>
            <c:bubble3D val="0"/>
            <c:extLst>
              <c:ext xmlns:c16="http://schemas.microsoft.com/office/drawing/2014/chart" uri="{C3380CC4-5D6E-409C-BE32-E72D297353CC}">
                <c16:uniqueId val="{00000002-68C0-44D4-8E2D-0E6C3C1F5B03}"/>
              </c:ext>
            </c:extLst>
          </c:dPt>
          <c:dPt>
            <c:idx val="3"/>
            <c:invertIfNegative val="0"/>
            <c:bubble3D val="0"/>
            <c:extLst>
              <c:ext xmlns:c16="http://schemas.microsoft.com/office/drawing/2014/chart" uri="{C3380CC4-5D6E-409C-BE32-E72D297353CC}">
                <c16:uniqueId val="{00000003-68C0-44D4-8E2D-0E6C3C1F5B03}"/>
              </c:ext>
            </c:extLst>
          </c:dPt>
          <c:cat>
            <c:strRef>
              <c:f>'Summary Tables'!$C$63:$E$65</c:f>
              <c:strCache>
                <c:ptCount val="3"/>
                <c:pt idx="0">
                  <c:v>Under Construction</c:v>
                </c:pt>
                <c:pt idx="1">
                  <c:v>Planning Permissions</c:v>
                </c:pt>
                <c:pt idx="2">
                  <c:v>Deliverable Sites</c:v>
                </c:pt>
              </c:strCache>
            </c:strRef>
          </c:cat>
          <c:val>
            <c:numRef>
              <c:f>'Summary Tables'!$K$63:$K$65</c:f>
              <c:numCache>
                <c:formatCode>#,##0</c:formatCode>
                <c:ptCount val="3"/>
                <c:pt idx="0">
                  <c:v>552</c:v>
                </c:pt>
                <c:pt idx="1">
                  <c:v>324</c:v>
                </c:pt>
                <c:pt idx="2">
                  <c:v>1381</c:v>
                </c:pt>
              </c:numCache>
            </c:numRef>
          </c:val>
          <c:extLst>
            <c:ext xmlns:c16="http://schemas.microsoft.com/office/drawing/2014/chart" uri="{C3380CC4-5D6E-409C-BE32-E72D297353CC}">
              <c16:uniqueId val="{00000004-68C0-44D4-8E2D-0E6C3C1F5B03}"/>
            </c:ext>
          </c:extLst>
        </c:ser>
        <c:dLbls>
          <c:showLegendKey val="0"/>
          <c:showVal val="0"/>
          <c:showCatName val="0"/>
          <c:showSerName val="0"/>
          <c:showPercent val="0"/>
          <c:showBubbleSize val="0"/>
        </c:dLbls>
        <c:gapWidth val="40"/>
        <c:axId val="303027712"/>
        <c:axId val="303026176"/>
      </c:barChart>
      <c:valAx>
        <c:axId val="303026176"/>
        <c:scaling>
          <c:orientation val="minMax"/>
        </c:scaling>
        <c:delete val="0"/>
        <c:axPos val="l"/>
        <c:majorGridlines/>
        <c:numFmt formatCode="#,##0" sourceLinked="1"/>
        <c:majorTickMark val="out"/>
        <c:minorTickMark val="none"/>
        <c:tickLblPos val="nextTo"/>
        <c:txPr>
          <a:bodyPr/>
          <a:lstStyle/>
          <a:p>
            <a:pPr>
              <a:defRPr sz="900"/>
            </a:pPr>
            <a:endParaRPr lang="en-US"/>
          </a:p>
        </c:txPr>
        <c:crossAx val="303027712"/>
        <c:crosses val="autoZero"/>
        <c:crossBetween val="between"/>
      </c:valAx>
      <c:catAx>
        <c:axId val="303027712"/>
        <c:scaling>
          <c:orientation val="minMax"/>
        </c:scaling>
        <c:delete val="0"/>
        <c:axPos val="b"/>
        <c:numFmt formatCode="General" sourceLinked="0"/>
        <c:majorTickMark val="out"/>
        <c:minorTickMark val="none"/>
        <c:tickLblPos val="nextTo"/>
        <c:spPr>
          <a:ln>
            <a:solidFill>
              <a:schemeClr val="accent1"/>
            </a:solidFill>
          </a:ln>
        </c:spPr>
        <c:txPr>
          <a:bodyPr/>
          <a:lstStyle/>
          <a:p>
            <a:pPr>
              <a:defRPr sz="900"/>
            </a:pPr>
            <a:endParaRPr lang="en-US"/>
          </a:p>
        </c:txPr>
        <c:crossAx val="303026176"/>
        <c:crossesAt val="0"/>
        <c:auto val="0"/>
        <c:lblAlgn val="ctr"/>
        <c:lblOffset val="100"/>
        <c:noMultiLvlLbl val="0"/>
      </c:catAx>
      <c:spPr>
        <a:noFill/>
        <a:ln w="12700">
          <a:noFill/>
        </a:ln>
      </c:spPr>
    </c:plotArea>
    <c:plotVisOnly val="1"/>
    <c:dispBlanksAs val="zero"/>
    <c:showDLblsOverMax val="0"/>
  </c:chart>
  <c:spPr>
    <a:solidFill>
      <a:srgbClr val="FFFFFF"/>
    </a:solidFill>
    <a:ln w="9525">
      <a:solidFill>
        <a:schemeClr val="bg1">
          <a:lumMod val="50000"/>
        </a:schemeClr>
      </a:solidFill>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Under</a:t>
            </a:r>
            <a:r>
              <a:rPr lang="en-GB" baseline="0"/>
              <a:t> Construction</a:t>
            </a:r>
            <a:r>
              <a:rPr lang="en-GB"/>
              <a:t> by Ward 2019/20</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6962635188428278"/>
          <c:y val="7.2401732915915631E-2"/>
          <c:w val="0.59731704165162713"/>
          <c:h val="0.84446573696360239"/>
        </c:manualLayout>
      </c:layout>
      <c:barChart>
        <c:barDir val="bar"/>
        <c:grouping val="clustered"/>
        <c:varyColors val="0"/>
        <c:ser>
          <c:idx val="1"/>
          <c:order val="0"/>
          <c:tx>
            <c:strRef>
              <c:f>'Summary Tables'!$G$206</c:f>
              <c:strCache>
                <c:ptCount val="1"/>
                <c:pt idx="0">
                  <c:v>Under Construction</c:v>
                </c:pt>
              </c:strCache>
            </c:strRef>
          </c:tx>
          <c:spPr>
            <a:solidFill>
              <a:schemeClr val="tx2">
                <a:lumMod val="60000"/>
                <a:lumOff val="40000"/>
              </a:schemeClr>
            </a:solidFill>
            <a:ln w="12700">
              <a:solidFill>
                <a:srgbClr val="000000"/>
              </a:solidFill>
            </a:ln>
          </c:spPr>
          <c:invertIfNegative val="0"/>
          <c:dLbls>
            <c:delete val="1"/>
          </c:dLbls>
          <c:cat>
            <c:strRef>
              <c:f>'Summary Tables'!$C$207:$C$224</c:f>
              <c:strCache>
                <c:ptCount val="18"/>
                <c:pt idx="0">
                  <c:v>Barnes</c:v>
                </c:pt>
                <c:pt idx="1">
                  <c:v>East Sheen</c:v>
                </c:pt>
                <c:pt idx="2">
                  <c:v>Fulwell, Hampton Hill</c:v>
                </c:pt>
                <c:pt idx="3">
                  <c:v>Ham, Petersham and Richmond Riverside</c:v>
                </c:pt>
                <c:pt idx="4">
                  <c:v>Hampton</c:v>
                </c:pt>
                <c:pt idx="5">
                  <c:v>Hampton North</c:v>
                </c:pt>
                <c:pt idx="6">
                  <c:v>Hampton Wick</c:v>
                </c:pt>
                <c:pt idx="7">
                  <c:v>Heathfield</c:v>
                </c:pt>
                <c:pt idx="8">
                  <c:v>Kew</c:v>
                </c:pt>
                <c:pt idx="9">
                  <c:v>Mortlake, Barnes Common</c:v>
                </c:pt>
                <c:pt idx="10">
                  <c:v>North Richmond</c:v>
                </c:pt>
                <c:pt idx="11">
                  <c:v>South Richmond</c:v>
                </c:pt>
                <c:pt idx="12">
                  <c:v>South Twickenham</c:v>
                </c:pt>
                <c:pt idx="13">
                  <c:v>St Margarets, North Twickenham</c:v>
                </c:pt>
                <c:pt idx="14">
                  <c:v>Teddington</c:v>
                </c:pt>
                <c:pt idx="15">
                  <c:v>Twickenham Riverside</c:v>
                </c:pt>
                <c:pt idx="16">
                  <c:v>West Twickenham</c:v>
                </c:pt>
                <c:pt idx="17">
                  <c:v>Whitton</c:v>
                </c:pt>
              </c:strCache>
            </c:strRef>
          </c:cat>
          <c:val>
            <c:numRef>
              <c:f>'Summary Tables'!$G$207:$G$224</c:f>
              <c:numCache>
                <c:formatCode>#,##0</c:formatCode>
                <c:ptCount val="18"/>
                <c:pt idx="0">
                  <c:v>2</c:v>
                </c:pt>
                <c:pt idx="1">
                  <c:v>7</c:v>
                </c:pt>
                <c:pt idx="2">
                  <c:v>9</c:v>
                </c:pt>
                <c:pt idx="3">
                  <c:v>18</c:v>
                </c:pt>
                <c:pt idx="4">
                  <c:v>13</c:v>
                </c:pt>
                <c:pt idx="5">
                  <c:v>2</c:v>
                </c:pt>
                <c:pt idx="6">
                  <c:v>57</c:v>
                </c:pt>
                <c:pt idx="7">
                  <c:v>4</c:v>
                </c:pt>
                <c:pt idx="8">
                  <c:v>43</c:v>
                </c:pt>
                <c:pt idx="9">
                  <c:v>5</c:v>
                </c:pt>
                <c:pt idx="10">
                  <c:v>3</c:v>
                </c:pt>
                <c:pt idx="11">
                  <c:v>26</c:v>
                </c:pt>
                <c:pt idx="12">
                  <c:v>22</c:v>
                </c:pt>
                <c:pt idx="13">
                  <c:v>287</c:v>
                </c:pt>
                <c:pt idx="14">
                  <c:v>41</c:v>
                </c:pt>
                <c:pt idx="15">
                  <c:v>10</c:v>
                </c:pt>
                <c:pt idx="16">
                  <c:v>6</c:v>
                </c:pt>
                <c:pt idx="17">
                  <c:v>-3</c:v>
                </c:pt>
              </c:numCache>
            </c:numRef>
          </c:val>
          <c:extLst>
            <c:ext xmlns:c16="http://schemas.microsoft.com/office/drawing/2014/chart" uri="{C3380CC4-5D6E-409C-BE32-E72D297353CC}">
              <c16:uniqueId val="{00000000-BA55-4FAE-BF34-110AEBAD99A7}"/>
            </c:ext>
          </c:extLst>
        </c:ser>
        <c:dLbls>
          <c:showLegendKey val="0"/>
          <c:showVal val="1"/>
          <c:showCatName val="0"/>
          <c:showSerName val="0"/>
          <c:showPercent val="0"/>
          <c:showBubbleSize val="0"/>
        </c:dLbls>
        <c:gapWidth val="0"/>
        <c:overlap val="100"/>
        <c:axId val="325048192"/>
        <c:axId val="325049728"/>
      </c:barChart>
      <c:catAx>
        <c:axId val="325048192"/>
        <c:scaling>
          <c:orientation val="maxMin"/>
        </c:scaling>
        <c:delete val="0"/>
        <c:axPos val="l"/>
        <c:numFmt formatCode="General" sourceLinked="1"/>
        <c:majorTickMark val="out"/>
        <c:minorTickMark val="none"/>
        <c:tickLblPos val="nextTo"/>
        <c:txPr>
          <a:bodyPr rot="0" vert="horz"/>
          <a:lstStyle/>
          <a:p>
            <a:pPr>
              <a:defRPr/>
            </a:pPr>
            <a:endParaRPr lang="en-US"/>
          </a:p>
        </c:txPr>
        <c:crossAx val="325049728"/>
        <c:crosses val="autoZero"/>
        <c:auto val="1"/>
        <c:lblAlgn val="ctr"/>
        <c:lblOffset val="100"/>
        <c:tickLblSkip val="1"/>
        <c:noMultiLvlLbl val="0"/>
      </c:catAx>
      <c:valAx>
        <c:axId val="325049728"/>
        <c:scaling>
          <c:orientation val="minMax"/>
          <c:max val="300"/>
          <c:min val="0"/>
        </c:scaling>
        <c:delete val="0"/>
        <c:axPos val="b"/>
        <c:majorGridlines>
          <c:spPr>
            <a:ln w="3175">
              <a:solidFill>
                <a:srgbClr val="BEBEBE"/>
              </a:solidFill>
              <a:prstDash val="solid"/>
            </a:ln>
          </c:spPr>
        </c:majorGridlines>
        <c:minorGridlines/>
        <c:numFmt formatCode="General" sourceLinked="0"/>
        <c:majorTickMark val="out"/>
        <c:minorTickMark val="none"/>
        <c:tickLblPos val="high"/>
        <c:spPr>
          <a:ln>
            <a:solidFill>
              <a:schemeClr val="bg1">
                <a:lumMod val="75000"/>
              </a:schemeClr>
            </a:solidFill>
          </a:ln>
        </c:spPr>
        <c:txPr>
          <a:bodyPr rot="0" vert="horz"/>
          <a:lstStyle/>
          <a:p>
            <a:pPr>
              <a:defRPr/>
            </a:pPr>
            <a:endParaRPr lang="en-US"/>
          </a:p>
        </c:txPr>
        <c:crossAx val="325048192"/>
        <c:crosses val="max"/>
        <c:crossBetween val="between"/>
        <c:majorUnit val="100"/>
        <c:minorUnit val="100"/>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2.4980700941794044E-2"/>
          <c:w val="0.61764640748031496"/>
          <c:h val="0.9301028253821213"/>
        </c:manualLayout>
      </c:layout>
      <c:pieChart>
        <c:varyColors val="1"/>
        <c:ser>
          <c:idx val="0"/>
          <c:order val="0"/>
          <c:tx>
            <c:strRef>
              <c:f>'Summary Tables'!$C$288:$D$288</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9898-4AD2-A8C5-39DC1A23952F}"/>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9898-4AD2-A8C5-39DC1A23952F}"/>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9898-4AD2-A8C5-39DC1A23952F}"/>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9898-4AD2-A8C5-39DC1A23952F}"/>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9898-4AD2-A8C5-39DC1A23952F}"/>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9898-4AD2-A8C5-39DC1A23952F}"/>
              </c:ext>
            </c:extLst>
          </c:dPt>
          <c:cat>
            <c:strRef>
              <c:f>'Summary Tables'!$E$287:$H$287</c:f>
              <c:strCache>
                <c:ptCount val="4"/>
                <c:pt idx="0">
                  <c:v>1 bed</c:v>
                </c:pt>
                <c:pt idx="1">
                  <c:v>2 bed</c:v>
                </c:pt>
                <c:pt idx="2">
                  <c:v>3 bed</c:v>
                </c:pt>
                <c:pt idx="3">
                  <c:v>4 + bed</c:v>
                </c:pt>
              </c:strCache>
            </c:strRef>
          </c:cat>
          <c:val>
            <c:numRef>
              <c:f>'Summary Tables'!$E$288:$H$288</c:f>
              <c:numCache>
                <c:formatCode>#,##0</c:formatCode>
                <c:ptCount val="4"/>
                <c:pt idx="0">
                  <c:v>50</c:v>
                </c:pt>
                <c:pt idx="1">
                  <c:v>44</c:v>
                </c:pt>
                <c:pt idx="2">
                  <c:v>28</c:v>
                </c:pt>
                <c:pt idx="3">
                  <c:v>27</c:v>
                </c:pt>
              </c:numCache>
            </c:numRef>
          </c:val>
          <c:extLst>
            <c:ext xmlns:c16="http://schemas.microsoft.com/office/drawing/2014/chart" uri="{C3380CC4-5D6E-409C-BE32-E72D297353CC}">
              <c16:uniqueId val="{0000000C-9898-4AD2-A8C5-39DC1A23952F}"/>
            </c:ext>
          </c:extLst>
        </c:ser>
        <c:ser>
          <c:idx val="1"/>
          <c:order val="1"/>
          <c:tx>
            <c:strRef>
              <c:f>'Summary Tables'!$C$289:$D$289</c:f>
              <c:strCache>
                <c:ptCount val="2"/>
                <c:pt idx="0">
                  <c:v>Market</c:v>
                </c:pt>
              </c:strCache>
            </c:strRef>
          </c:tx>
          <c:cat>
            <c:strRef>
              <c:f>'Summary Tables'!$E$287:$H$287</c:f>
              <c:strCache>
                <c:ptCount val="4"/>
                <c:pt idx="0">
                  <c:v>1 bed</c:v>
                </c:pt>
                <c:pt idx="1">
                  <c:v>2 bed</c:v>
                </c:pt>
                <c:pt idx="2">
                  <c:v>3 bed</c:v>
                </c:pt>
                <c:pt idx="3">
                  <c:v>4 + bed</c:v>
                </c:pt>
              </c:strCache>
            </c:strRef>
          </c:cat>
          <c:val>
            <c:numRef>
              <c:f>'Summary Tables'!$E$289:$H$289</c:f>
              <c:numCache>
                <c:formatCode>0%</c:formatCode>
                <c:ptCount val="4"/>
                <c:pt idx="0">
                  <c:v>0.10822510822510822</c:v>
                </c:pt>
                <c:pt idx="1">
                  <c:v>9.5238095238095233E-2</c:v>
                </c:pt>
                <c:pt idx="2">
                  <c:v>6.0606060606060608E-2</c:v>
                </c:pt>
                <c:pt idx="3">
                  <c:v>5.844155844155844E-2</c:v>
                </c:pt>
              </c:numCache>
            </c:numRef>
          </c:val>
          <c:extLst>
            <c:ext xmlns:c16="http://schemas.microsoft.com/office/drawing/2014/chart" uri="{C3380CC4-5D6E-409C-BE32-E72D297353CC}">
              <c16:uniqueId val="{0000000C-7FEA-4222-869B-78178668B28D}"/>
            </c:ext>
          </c:extLst>
        </c:ser>
        <c:ser>
          <c:idx val="2"/>
          <c:order val="2"/>
          <c:tx>
            <c:strRef>
              <c:f>'Summary Tables'!$C$290:$D$290</c:f>
              <c:strCache>
                <c:ptCount val="2"/>
                <c:pt idx="0">
                  <c:v>Intermediate</c:v>
                </c:pt>
              </c:strCache>
            </c:strRef>
          </c:tx>
          <c:cat>
            <c:strRef>
              <c:f>'Summary Tables'!$E$287:$H$287</c:f>
              <c:strCache>
                <c:ptCount val="4"/>
                <c:pt idx="0">
                  <c:v>1 bed</c:v>
                </c:pt>
                <c:pt idx="1">
                  <c:v>2 bed</c:v>
                </c:pt>
                <c:pt idx="2">
                  <c:v>3 bed</c:v>
                </c:pt>
                <c:pt idx="3">
                  <c:v>4 + bed</c:v>
                </c:pt>
              </c:strCache>
            </c:strRef>
          </c:cat>
          <c:val>
            <c:numRef>
              <c:f>'Summary Tables'!$E$290:$H$290</c:f>
              <c:numCache>
                <c:formatCode>#,##0</c:formatCode>
                <c:ptCount val="4"/>
                <c:pt idx="0">
                  <c:v>0</c:v>
                </c:pt>
                <c:pt idx="1">
                  <c:v>0</c:v>
                </c:pt>
                <c:pt idx="2">
                  <c:v>0</c:v>
                </c:pt>
                <c:pt idx="3">
                  <c:v>0</c:v>
                </c:pt>
              </c:numCache>
            </c:numRef>
          </c:val>
          <c:extLst>
            <c:ext xmlns:c16="http://schemas.microsoft.com/office/drawing/2014/chart" uri="{C3380CC4-5D6E-409C-BE32-E72D297353CC}">
              <c16:uniqueId val="{0000000D-7FEA-4222-869B-78178668B28D}"/>
            </c:ext>
          </c:extLst>
        </c:ser>
        <c:ser>
          <c:idx val="3"/>
          <c:order val="3"/>
          <c:tx>
            <c:strRef>
              <c:f>'Summary Tables'!$C$291:$D$291</c:f>
              <c:strCache>
                <c:ptCount val="2"/>
                <c:pt idx="0">
                  <c:v>Intermediate</c:v>
                </c:pt>
              </c:strCache>
            </c:strRef>
          </c:tx>
          <c:cat>
            <c:strRef>
              <c:f>'Summary Tables'!$E$287:$H$287</c:f>
              <c:strCache>
                <c:ptCount val="4"/>
                <c:pt idx="0">
                  <c:v>1 bed</c:v>
                </c:pt>
                <c:pt idx="1">
                  <c:v>2 bed</c:v>
                </c:pt>
                <c:pt idx="2">
                  <c:v>3 bed</c:v>
                </c:pt>
                <c:pt idx="3">
                  <c:v>4 + bed</c:v>
                </c:pt>
              </c:strCache>
            </c:strRef>
          </c:cat>
          <c:val>
            <c:numRef>
              <c:f>'Summary Tables'!$E$291:$H$291</c:f>
              <c:numCache>
                <c:formatCode>0%</c:formatCode>
                <c:ptCount val="4"/>
                <c:pt idx="0">
                  <c:v>0</c:v>
                </c:pt>
                <c:pt idx="1">
                  <c:v>0</c:v>
                </c:pt>
                <c:pt idx="2">
                  <c:v>0</c:v>
                </c:pt>
                <c:pt idx="3">
                  <c:v>0</c:v>
                </c:pt>
              </c:numCache>
            </c:numRef>
          </c:val>
          <c:extLst>
            <c:ext xmlns:c16="http://schemas.microsoft.com/office/drawing/2014/chart" uri="{C3380CC4-5D6E-409C-BE32-E72D297353CC}">
              <c16:uniqueId val="{0000000E-7FEA-4222-869B-78178668B28D}"/>
            </c:ext>
          </c:extLst>
        </c:ser>
        <c:ser>
          <c:idx val="4"/>
          <c:order val="4"/>
          <c:tx>
            <c:strRef>
              <c:f>'Summary Tables'!$C$292:$D$292</c:f>
              <c:strCache>
                <c:ptCount val="2"/>
                <c:pt idx="0">
                  <c:v>Affordable Rented</c:v>
                </c:pt>
              </c:strCache>
            </c:strRef>
          </c:tx>
          <c:cat>
            <c:strRef>
              <c:f>'Summary Tables'!$E$287:$H$287</c:f>
              <c:strCache>
                <c:ptCount val="4"/>
                <c:pt idx="0">
                  <c:v>1 bed</c:v>
                </c:pt>
                <c:pt idx="1">
                  <c:v>2 bed</c:v>
                </c:pt>
                <c:pt idx="2">
                  <c:v>3 bed</c:v>
                </c:pt>
                <c:pt idx="3">
                  <c:v>4 + bed</c:v>
                </c:pt>
              </c:strCache>
            </c:strRef>
          </c:cat>
          <c:val>
            <c:numRef>
              <c:f>'Summary Tables'!$E$292:$H$292</c:f>
              <c:numCache>
                <c:formatCode>#,##0</c:formatCode>
                <c:ptCount val="4"/>
                <c:pt idx="0">
                  <c:v>0</c:v>
                </c:pt>
                <c:pt idx="1">
                  <c:v>0</c:v>
                </c:pt>
                <c:pt idx="2">
                  <c:v>3</c:v>
                </c:pt>
                <c:pt idx="3">
                  <c:v>4</c:v>
                </c:pt>
              </c:numCache>
            </c:numRef>
          </c:val>
          <c:extLst>
            <c:ext xmlns:c16="http://schemas.microsoft.com/office/drawing/2014/chart" uri="{C3380CC4-5D6E-409C-BE32-E72D297353CC}">
              <c16:uniqueId val="{0000000F-7FEA-4222-869B-78178668B28D}"/>
            </c:ext>
          </c:extLst>
        </c:ser>
        <c:ser>
          <c:idx val="5"/>
          <c:order val="5"/>
          <c:tx>
            <c:strRef>
              <c:f>'Summary Tables'!$C$293:$D$293</c:f>
              <c:strCache>
                <c:ptCount val="2"/>
                <c:pt idx="0">
                  <c:v>Affordable Rented</c:v>
                </c:pt>
              </c:strCache>
            </c:strRef>
          </c:tx>
          <c:cat>
            <c:strRef>
              <c:f>'Summary Tables'!$E$287:$H$287</c:f>
              <c:strCache>
                <c:ptCount val="4"/>
                <c:pt idx="0">
                  <c:v>1 bed</c:v>
                </c:pt>
                <c:pt idx="1">
                  <c:v>2 bed</c:v>
                </c:pt>
                <c:pt idx="2">
                  <c:v>3 bed</c:v>
                </c:pt>
                <c:pt idx="3">
                  <c:v>4 + bed</c:v>
                </c:pt>
              </c:strCache>
            </c:strRef>
          </c:cat>
          <c:val>
            <c:numRef>
              <c:f>'Summary Tables'!$E$293:$H$293</c:f>
              <c:numCache>
                <c:formatCode>0%</c:formatCode>
                <c:ptCount val="4"/>
                <c:pt idx="0">
                  <c:v>0</c:v>
                </c:pt>
                <c:pt idx="1">
                  <c:v>0</c:v>
                </c:pt>
                <c:pt idx="2">
                  <c:v>6.4935064935064939E-3</c:v>
                </c:pt>
                <c:pt idx="3">
                  <c:v>8.658008658008658E-3</c:v>
                </c:pt>
              </c:numCache>
            </c:numRef>
          </c:val>
          <c:extLst>
            <c:ext xmlns:c16="http://schemas.microsoft.com/office/drawing/2014/chart" uri="{C3380CC4-5D6E-409C-BE32-E72D297353CC}">
              <c16:uniqueId val="{00000010-7FEA-4222-869B-78178668B28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5523645907897876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anose="020B0604020202020204" pitchFamily="34" charset="0"/>
                <a:cs typeface="Arial" panose="020B0604020202020204" pitchFamily="34" charset="0"/>
              </a:defRPr>
            </a:pPr>
            <a:r>
              <a:rPr lang="en-GB" sz="1100">
                <a:latin typeface="Arial" panose="020B0604020202020204" pitchFamily="34" charset="0"/>
                <a:cs typeface="Arial" panose="020B0604020202020204" pitchFamily="34" charset="0"/>
              </a:rPr>
              <a:t>Housing Delivery</a:t>
            </a:r>
            <a:r>
              <a:rPr lang="en-GB" sz="1100" baseline="0">
                <a:latin typeface="Arial" panose="020B0604020202020204" pitchFamily="34" charset="0"/>
                <a:cs typeface="Arial" panose="020B0604020202020204" pitchFamily="34" charset="0"/>
              </a:rPr>
              <a:t> Trajectory and Managed Target</a:t>
            </a:r>
            <a:endParaRPr lang="en-GB" sz="11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Trajectory!$C$9</c:f>
              <c:strCache>
                <c:ptCount val="1"/>
                <c:pt idx="0">
                  <c:v>Past Completions</c:v>
                </c:pt>
              </c:strCache>
            </c:strRef>
          </c:tx>
          <c:spPr>
            <a:solidFill>
              <a:schemeClr val="tx2"/>
            </a:solidFill>
          </c:spPr>
          <c:invertIfNegative val="0"/>
          <c:dPt>
            <c:idx val="7"/>
            <c:invertIfNegative val="0"/>
            <c:bubble3D val="0"/>
            <c:extLst>
              <c:ext xmlns:c16="http://schemas.microsoft.com/office/drawing/2014/chart" uri="{C3380CC4-5D6E-409C-BE32-E72D297353CC}">
                <c16:uniqueId val="{00000001-6377-4437-8DBF-B5759B370F09}"/>
              </c:ext>
            </c:extLst>
          </c:dPt>
          <c:dPt>
            <c:idx val="8"/>
            <c:invertIfNegative val="0"/>
            <c:bubble3D val="0"/>
            <c:spPr>
              <a:solidFill>
                <a:srgbClr val="00B0F0"/>
              </a:solidFill>
            </c:spPr>
            <c:extLst>
              <c:ext xmlns:c16="http://schemas.microsoft.com/office/drawing/2014/chart" uri="{C3380CC4-5D6E-409C-BE32-E72D297353CC}">
                <c16:uniqueId val="{00000002-BD65-455F-9992-61E53776D35B}"/>
              </c:ext>
            </c:extLst>
          </c:dPt>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Trajectory!$D$7:$X$7</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Trajectory!$D$9:$X$9</c:f>
              <c:numCache>
                <c:formatCode>General</c:formatCode>
                <c:ptCount val="21"/>
                <c:pt idx="0">
                  <c:v>208</c:v>
                </c:pt>
                <c:pt idx="1">
                  <c:v>695</c:v>
                </c:pt>
                <c:pt idx="2">
                  <c:v>235</c:v>
                </c:pt>
                <c:pt idx="3">
                  <c:v>304</c:v>
                </c:pt>
                <c:pt idx="4">
                  <c:v>491</c:v>
                </c:pt>
                <c:pt idx="5">
                  <c:v>460</c:v>
                </c:pt>
                <c:pt idx="6">
                  <c:v>382</c:v>
                </c:pt>
                <c:pt idx="7">
                  <c:v>419</c:v>
                </c:pt>
                <c:pt idx="8" formatCode="#,##0">
                  <c:v>331</c:v>
                </c:pt>
              </c:numCache>
            </c:numRef>
          </c:val>
          <c:extLst>
            <c:ext xmlns:c16="http://schemas.microsoft.com/office/drawing/2014/chart" uri="{C3380CC4-5D6E-409C-BE32-E72D297353CC}">
              <c16:uniqueId val="{00000002-6377-4437-8DBF-B5759B370F09}"/>
            </c:ext>
          </c:extLst>
        </c:ser>
        <c:ser>
          <c:idx val="1"/>
          <c:order val="1"/>
          <c:tx>
            <c:strRef>
              <c:f>Trajectory!$C$10</c:f>
              <c:strCache>
                <c:ptCount val="1"/>
                <c:pt idx="0">
                  <c:v>Projected Completions</c:v>
                </c:pt>
              </c:strCache>
            </c:strRef>
          </c:tx>
          <c:spPr>
            <a:solidFill>
              <a:schemeClr val="accent1"/>
            </a:solidFill>
          </c:spPr>
          <c:invertIfNegative val="0"/>
          <c:dLbls>
            <c:numFmt formatCode="#,##0" sourceLinked="0"/>
            <c:spPr>
              <a:noFill/>
              <a:effectLst/>
            </c:spPr>
            <c:txPr>
              <a:bodyPr wrap="square" lIns="38100" tIns="19050" rIns="38100" bIns="19050" anchor="ctr">
                <a:spAutoFit/>
              </a:bodyPr>
              <a:lstStyle/>
              <a:p>
                <a:pPr>
                  <a:defRPr>
                    <a:solidFill>
                      <a:schemeClr val="tx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Trajectory!$D$7:$X$7</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Trajectory!$D$10:$X$10</c:f>
              <c:numCache>
                <c:formatCode>#,##0</c:formatCode>
                <c:ptCount val="21"/>
                <c:pt idx="9" formatCode="0">
                  <c:v>269.83333333333337</c:v>
                </c:pt>
                <c:pt idx="10" formatCode="0">
                  <c:v>181.58333333333334</c:v>
                </c:pt>
                <c:pt idx="11" formatCode="0">
                  <c:v>432.75</c:v>
                </c:pt>
                <c:pt idx="12">
                  <c:v>641.41666666666663</c:v>
                </c:pt>
                <c:pt idx="13">
                  <c:v>692.41666666666663</c:v>
                </c:pt>
                <c:pt idx="14">
                  <c:v>451.6</c:v>
                </c:pt>
                <c:pt idx="15">
                  <c:v>456.6</c:v>
                </c:pt>
                <c:pt idx="16">
                  <c:v>436.6</c:v>
                </c:pt>
                <c:pt idx="17">
                  <c:v>436.6</c:v>
                </c:pt>
                <c:pt idx="18">
                  <c:v>436.6</c:v>
                </c:pt>
                <c:pt idx="19">
                  <c:v>411</c:v>
                </c:pt>
                <c:pt idx="20">
                  <c:v>411</c:v>
                </c:pt>
              </c:numCache>
            </c:numRef>
          </c:val>
          <c:extLst>
            <c:ext xmlns:c16="http://schemas.microsoft.com/office/drawing/2014/chart" uri="{C3380CC4-5D6E-409C-BE32-E72D297353CC}">
              <c16:uniqueId val="{00000003-6377-4437-8DBF-B5759B370F09}"/>
            </c:ext>
          </c:extLst>
        </c:ser>
        <c:dLbls>
          <c:showLegendKey val="0"/>
          <c:showVal val="0"/>
          <c:showCatName val="0"/>
          <c:showSerName val="0"/>
          <c:showPercent val="0"/>
          <c:showBubbleSize val="0"/>
        </c:dLbls>
        <c:gapWidth val="100"/>
        <c:overlap val="100"/>
        <c:axId val="320841984"/>
        <c:axId val="320852352"/>
      </c:barChart>
      <c:lineChart>
        <c:grouping val="standard"/>
        <c:varyColors val="0"/>
        <c:ser>
          <c:idx val="2"/>
          <c:order val="2"/>
          <c:tx>
            <c:strRef>
              <c:f>Trajectory!$C$12</c:f>
              <c:strCache>
                <c:ptCount val="1"/>
                <c:pt idx="0">
                  <c:v>Annual Target</c:v>
                </c:pt>
              </c:strCache>
            </c:strRef>
          </c:tx>
          <c:spPr>
            <a:ln>
              <a:solidFill>
                <a:schemeClr val="accent6">
                  <a:lumMod val="50000"/>
                </a:schemeClr>
              </a:solidFill>
            </a:ln>
          </c:spPr>
          <c:marker>
            <c:symbol val="none"/>
          </c:marker>
          <c:cat>
            <c:strRef>
              <c:f>Trajectory!$D$7:$X$7</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Trajectory!$D$17:$X$17</c:f>
              <c:numCache>
                <c:formatCode>General</c:formatCode>
                <c:ptCount val="21"/>
                <c:pt idx="4">
                  <c:v>315</c:v>
                </c:pt>
                <c:pt idx="5">
                  <c:v>315</c:v>
                </c:pt>
                <c:pt idx="6">
                  <c:v>315</c:v>
                </c:pt>
                <c:pt idx="7">
                  <c:v>315</c:v>
                </c:pt>
                <c:pt idx="8">
                  <c:v>315</c:v>
                </c:pt>
                <c:pt idx="9">
                  <c:v>315</c:v>
                </c:pt>
                <c:pt idx="10">
                  <c:v>315</c:v>
                </c:pt>
                <c:pt idx="11">
                  <c:v>315</c:v>
                </c:pt>
                <c:pt idx="12">
                  <c:v>315</c:v>
                </c:pt>
                <c:pt idx="13">
                  <c:v>315</c:v>
                </c:pt>
                <c:pt idx="14">
                  <c:v>315</c:v>
                </c:pt>
                <c:pt idx="15">
                  <c:v>315</c:v>
                </c:pt>
                <c:pt idx="16">
                  <c:v>315</c:v>
                </c:pt>
                <c:pt idx="17">
                  <c:v>315</c:v>
                </c:pt>
                <c:pt idx="18">
                  <c:v>315</c:v>
                </c:pt>
                <c:pt idx="19">
                  <c:v>315</c:v>
                </c:pt>
                <c:pt idx="20">
                  <c:v>315</c:v>
                </c:pt>
              </c:numCache>
            </c:numRef>
          </c:val>
          <c:smooth val="0"/>
          <c:extLst>
            <c:ext xmlns:c16="http://schemas.microsoft.com/office/drawing/2014/chart" uri="{C3380CC4-5D6E-409C-BE32-E72D297353CC}">
              <c16:uniqueId val="{00000004-6377-4437-8DBF-B5759B370F09}"/>
            </c:ext>
          </c:extLst>
        </c:ser>
        <c:ser>
          <c:idx val="3"/>
          <c:order val="3"/>
          <c:tx>
            <c:strRef>
              <c:f>Trajectory!$C$15</c:f>
              <c:strCache>
                <c:ptCount val="1"/>
                <c:pt idx="0">
                  <c:v>Managed Annual Target incorporating Past and Projected Completions</c:v>
                </c:pt>
              </c:strCache>
            </c:strRef>
          </c:tx>
          <c:spPr>
            <a:ln>
              <a:solidFill>
                <a:schemeClr val="accent6"/>
              </a:solidFill>
              <a:prstDash val="solid"/>
            </a:ln>
          </c:spPr>
          <c:marker>
            <c:symbol val="none"/>
          </c:marker>
          <c:cat>
            <c:strRef>
              <c:f>Trajectory!$D$7:$X$7</c:f>
              <c:strCache>
                <c:ptCount val="21"/>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pt idx="12">
                  <c:v>2023/24</c:v>
                </c:pt>
                <c:pt idx="13">
                  <c:v>2024/25</c:v>
                </c:pt>
                <c:pt idx="14">
                  <c:v>2025/26</c:v>
                </c:pt>
                <c:pt idx="15">
                  <c:v>2026/27</c:v>
                </c:pt>
                <c:pt idx="16">
                  <c:v>2027/28</c:v>
                </c:pt>
                <c:pt idx="17">
                  <c:v>2028/29</c:v>
                </c:pt>
                <c:pt idx="18">
                  <c:v>2029/30</c:v>
                </c:pt>
                <c:pt idx="19">
                  <c:v>2030/31</c:v>
                </c:pt>
                <c:pt idx="20">
                  <c:v>2031/32</c:v>
                </c:pt>
              </c:strCache>
            </c:strRef>
          </c:cat>
          <c:val>
            <c:numRef>
              <c:f>Trajectory!$D$16:$X$16</c:f>
              <c:numCache>
                <c:formatCode>General</c:formatCode>
                <c:ptCount val="21"/>
                <c:pt idx="4" formatCode="#,##0">
                  <c:v>315</c:v>
                </c:pt>
                <c:pt idx="5" formatCode="#,##0">
                  <c:v>295.44444444444446</c:v>
                </c:pt>
                <c:pt idx="6" formatCode="#,##0">
                  <c:v>274.875</c:v>
                </c:pt>
                <c:pt idx="7" formatCode="#,##0">
                  <c:v>259.57142857142856</c:v>
                </c:pt>
                <c:pt idx="8" formatCode="#,##0">
                  <c:v>233</c:v>
                </c:pt>
                <c:pt idx="9" formatCode="#,##0">
                  <c:v>213.4</c:v>
                </c:pt>
                <c:pt idx="10" formatCode="#,##0">
                  <c:v>199.29166666666663</c:v>
                </c:pt>
                <c:pt idx="11" formatCode="#,##0">
                  <c:v>205.19444444444434</c:v>
                </c:pt>
                <c:pt idx="12" formatCode="#,##0">
                  <c:v>91.416666666666515</c:v>
                </c:pt>
                <c:pt idx="13" formatCode="#,##0">
                  <c:v>0</c:v>
                </c:pt>
                <c:pt idx="14" formatCode="#,##0">
                  <c:v>0</c:v>
                </c:pt>
              </c:numCache>
            </c:numRef>
          </c:val>
          <c:smooth val="0"/>
          <c:extLst>
            <c:ext xmlns:c16="http://schemas.microsoft.com/office/drawing/2014/chart" uri="{C3380CC4-5D6E-409C-BE32-E72D297353CC}">
              <c16:uniqueId val="{00000005-6377-4437-8DBF-B5759B370F09}"/>
            </c:ext>
          </c:extLst>
        </c:ser>
        <c:dLbls>
          <c:showLegendKey val="0"/>
          <c:showVal val="0"/>
          <c:showCatName val="0"/>
          <c:showSerName val="0"/>
          <c:showPercent val="0"/>
          <c:showBubbleSize val="0"/>
        </c:dLbls>
        <c:marker val="1"/>
        <c:smooth val="0"/>
        <c:axId val="320841984"/>
        <c:axId val="320852352"/>
      </c:lineChart>
      <c:catAx>
        <c:axId val="32084198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20852352"/>
        <c:crosses val="autoZero"/>
        <c:auto val="1"/>
        <c:lblAlgn val="ctr"/>
        <c:lblOffset val="100"/>
        <c:noMultiLvlLbl val="0"/>
      </c:catAx>
      <c:valAx>
        <c:axId val="320852352"/>
        <c:scaling>
          <c:orientation val="minMax"/>
          <c:max val="800"/>
        </c:scaling>
        <c:delete val="0"/>
        <c:axPos val="l"/>
        <c:majorGridlines>
          <c:spPr>
            <a:ln>
              <a:noFill/>
            </a:ln>
          </c:spPr>
        </c:majorGridlines>
        <c:title>
          <c:tx>
            <c:rich>
              <a:bodyPr rot="-5400000" vert="horz"/>
              <a:lstStyle/>
              <a:p>
                <a:pPr>
                  <a:defRPr/>
                </a:pPr>
                <a:r>
                  <a:rPr lang="en-GB"/>
                  <a:t>Dwellings</a:t>
                </a:r>
              </a:p>
            </c:rich>
          </c:tx>
          <c:overlay val="0"/>
        </c:title>
        <c:numFmt formatCode="General" sourceLinked="1"/>
        <c:majorTickMark val="out"/>
        <c:minorTickMark val="none"/>
        <c:tickLblPos val="nextTo"/>
        <c:crossAx val="32084198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w="12700">
      <a:solidFill>
        <a:schemeClr val="tx1"/>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43369734789394E-2"/>
          <c:y val="5.8823754686560537E-2"/>
          <c:w val="0.90795631825273015"/>
          <c:h val="0.81348429272427891"/>
        </c:manualLayout>
      </c:layout>
      <c:barChart>
        <c:barDir val="col"/>
        <c:grouping val="clustered"/>
        <c:varyColors val="0"/>
        <c:ser>
          <c:idx val="0"/>
          <c:order val="0"/>
          <c:tx>
            <c:strRef>
              <c:f>'Summary Tables'!$D$75</c:f>
              <c:strCache>
                <c:ptCount val="1"/>
                <c:pt idx="0">
                  <c:v>Completions</c:v>
                </c:pt>
              </c:strCache>
            </c:strRef>
          </c:tx>
          <c:spPr>
            <a:solidFill>
              <a:srgbClr val="0070C0"/>
            </a:solidFill>
            <a:ln w="63500">
              <a:solidFill>
                <a:srgbClr val="0070C0"/>
              </a:solidFill>
              <a:prstDash val="solid"/>
              <a:miter lim="800000"/>
            </a:ln>
          </c:spPr>
          <c:invertIfNegative val="0"/>
          <c:cat>
            <c:strRef>
              <c:f>'Summary Tables'!$C$76:$C$94</c:f>
              <c:strCache>
                <c:ptCount val="19"/>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strCache>
            </c:strRef>
          </c:cat>
          <c:val>
            <c:numRef>
              <c:f>'Summary Tables'!$D$76:$D$94</c:f>
              <c:numCache>
                <c:formatCode>#,##0</c:formatCode>
                <c:ptCount val="19"/>
                <c:pt idx="0">
                  <c:v>160</c:v>
                </c:pt>
                <c:pt idx="1">
                  <c:v>319</c:v>
                </c:pt>
                <c:pt idx="2">
                  <c:v>246</c:v>
                </c:pt>
                <c:pt idx="3">
                  <c:v>582</c:v>
                </c:pt>
                <c:pt idx="4">
                  <c:v>842</c:v>
                </c:pt>
                <c:pt idx="5">
                  <c:v>230</c:v>
                </c:pt>
                <c:pt idx="6">
                  <c:v>260</c:v>
                </c:pt>
                <c:pt idx="7">
                  <c:v>436</c:v>
                </c:pt>
                <c:pt idx="8">
                  <c:v>145</c:v>
                </c:pt>
                <c:pt idx="9">
                  <c:v>399</c:v>
                </c:pt>
                <c:pt idx="10">
                  <c:v>208</c:v>
                </c:pt>
                <c:pt idx="11">
                  <c:v>695</c:v>
                </c:pt>
                <c:pt idx="12">
                  <c:v>235</c:v>
                </c:pt>
                <c:pt idx="13">
                  <c:v>304</c:v>
                </c:pt>
                <c:pt idx="14">
                  <c:v>491</c:v>
                </c:pt>
                <c:pt idx="15">
                  <c:v>460</c:v>
                </c:pt>
                <c:pt idx="16">
                  <c:v>382</c:v>
                </c:pt>
                <c:pt idx="17">
                  <c:v>419</c:v>
                </c:pt>
                <c:pt idx="18">
                  <c:v>331</c:v>
                </c:pt>
              </c:numCache>
            </c:numRef>
          </c:val>
          <c:extLst>
            <c:ext xmlns:c16="http://schemas.microsoft.com/office/drawing/2014/chart" uri="{C3380CC4-5D6E-409C-BE32-E72D297353CC}">
              <c16:uniqueId val="{00000000-99C0-4DCA-B558-D7242426D020}"/>
            </c:ext>
          </c:extLst>
        </c:ser>
        <c:dLbls>
          <c:showLegendKey val="0"/>
          <c:showVal val="0"/>
          <c:showCatName val="0"/>
          <c:showSerName val="0"/>
          <c:showPercent val="0"/>
          <c:showBubbleSize val="0"/>
        </c:dLbls>
        <c:gapWidth val="78"/>
        <c:axId val="261322240"/>
        <c:axId val="261323776"/>
      </c:barChart>
      <c:lineChart>
        <c:grouping val="standard"/>
        <c:varyColors val="0"/>
        <c:ser>
          <c:idx val="1"/>
          <c:order val="1"/>
          <c:tx>
            <c:strRef>
              <c:f>'Summary Tables'!$E$75</c:f>
              <c:strCache>
                <c:ptCount val="1"/>
                <c:pt idx="0">
                  <c:v>5 Year Average</c:v>
                </c:pt>
              </c:strCache>
            </c:strRef>
          </c:tx>
          <c:marker>
            <c:symbol val="none"/>
          </c:marker>
          <c:cat>
            <c:strRef>
              <c:f>'Summary Tables'!$C$76:$C$94</c:f>
              <c:strCache>
                <c:ptCount val="19"/>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pt idx="18">
                  <c:v>2019/20</c:v>
                </c:pt>
              </c:strCache>
            </c:strRef>
          </c:cat>
          <c:val>
            <c:numRef>
              <c:f>'Summary Tables'!$E$76:$E$94</c:f>
              <c:numCache>
                <c:formatCode>#,##0</c:formatCode>
                <c:ptCount val="19"/>
                <c:pt idx="4">
                  <c:v>429.8</c:v>
                </c:pt>
                <c:pt idx="5">
                  <c:v>443.8</c:v>
                </c:pt>
                <c:pt idx="6">
                  <c:v>432</c:v>
                </c:pt>
                <c:pt idx="7">
                  <c:v>470</c:v>
                </c:pt>
                <c:pt idx="8">
                  <c:v>382.6</c:v>
                </c:pt>
                <c:pt idx="9">
                  <c:v>294</c:v>
                </c:pt>
                <c:pt idx="10">
                  <c:v>289.60000000000002</c:v>
                </c:pt>
                <c:pt idx="11">
                  <c:v>376.6</c:v>
                </c:pt>
                <c:pt idx="12">
                  <c:v>336.4</c:v>
                </c:pt>
                <c:pt idx="13">
                  <c:v>368.2</c:v>
                </c:pt>
                <c:pt idx="14">
                  <c:v>386.6</c:v>
                </c:pt>
                <c:pt idx="15">
                  <c:v>437</c:v>
                </c:pt>
                <c:pt idx="16">
                  <c:v>374.4</c:v>
                </c:pt>
                <c:pt idx="17">
                  <c:v>411.2</c:v>
                </c:pt>
                <c:pt idx="18">
                  <c:v>416.6</c:v>
                </c:pt>
              </c:numCache>
            </c:numRef>
          </c:val>
          <c:smooth val="0"/>
          <c:extLst>
            <c:ext xmlns:c16="http://schemas.microsoft.com/office/drawing/2014/chart" uri="{C3380CC4-5D6E-409C-BE32-E72D297353CC}">
              <c16:uniqueId val="{00000000-30AC-446F-AE24-CD07D4E869FA}"/>
            </c:ext>
          </c:extLst>
        </c:ser>
        <c:dLbls>
          <c:showLegendKey val="0"/>
          <c:showVal val="0"/>
          <c:showCatName val="0"/>
          <c:showSerName val="0"/>
          <c:showPercent val="0"/>
          <c:showBubbleSize val="0"/>
        </c:dLbls>
        <c:marker val="1"/>
        <c:smooth val="0"/>
        <c:axId val="261322240"/>
        <c:axId val="261323776"/>
      </c:lineChart>
      <c:catAx>
        <c:axId val="26132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1320000" vert="horz"/>
          <a:lstStyle/>
          <a:p>
            <a:pPr>
              <a:defRPr sz="800" b="0" i="0" u="none" strike="noStrike" baseline="0">
                <a:solidFill>
                  <a:srgbClr val="000000"/>
                </a:solidFill>
                <a:latin typeface="Arial"/>
                <a:ea typeface="Arial"/>
                <a:cs typeface="Arial"/>
              </a:defRPr>
            </a:pPr>
            <a:endParaRPr lang="en-US"/>
          </a:p>
        </c:txPr>
        <c:crossAx val="261323776"/>
        <c:crosses val="autoZero"/>
        <c:auto val="1"/>
        <c:lblAlgn val="ctr"/>
        <c:lblOffset val="100"/>
        <c:noMultiLvlLbl val="0"/>
      </c:catAx>
      <c:valAx>
        <c:axId val="261323776"/>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1322240"/>
        <c:crosses val="autoZero"/>
        <c:crossBetween val="between"/>
      </c:valAx>
      <c:spPr>
        <a:noFill/>
        <a:ln w="12700">
          <a:noFill/>
          <a:prstDash val="solid"/>
        </a:ln>
      </c:spPr>
    </c:plotArea>
    <c:legend>
      <c:legendPos val="r"/>
      <c:layout>
        <c:manualLayout>
          <c:xMode val="edge"/>
          <c:yMode val="edge"/>
          <c:x val="7.102630086548628E-2"/>
          <c:y val="6.3268613162485124E-2"/>
          <c:w val="0.15672466708532598"/>
          <c:h val="0.157903814652024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8034954054069E-2"/>
          <c:y val="5.905511811023622E-2"/>
          <c:w val="0.93777804232354312"/>
          <c:h val="0.83639682697237672"/>
        </c:manualLayout>
      </c:layout>
      <c:barChart>
        <c:barDir val="col"/>
        <c:grouping val="stacked"/>
        <c:varyColors val="0"/>
        <c:ser>
          <c:idx val="0"/>
          <c:order val="0"/>
          <c:tx>
            <c:strRef>
              <c:f>'Summary Tables'!$D$102</c:f>
              <c:strCache>
                <c:ptCount val="1"/>
                <c:pt idx="0">
                  <c:v> Open Market</c:v>
                </c:pt>
              </c:strCache>
            </c:strRef>
          </c:tx>
          <c:spPr>
            <a:solidFill>
              <a:schemeClr val="tx2">
                <a:lumMod val="60000"/>
                <a:lumOff val="40000"/>
              </a:schemeClr>
            </a:solidFill>
            <a:ln w="25400">
              <a:solidFill>
                <a:schemeClr val="tx2">
                  <a:lumMod val="60000"/>
                  <a:lumOff val="40000"/>
                </a:schemeClr>
              </a:solidFill>
              <a:prstDash val="solid"/>
              <a:miter lim="800000"/>
            </a:ln>
          </c:spPr>
          <c:invertIfNegative val="0"/>
          <c:cat>
            <c:strRef>
              <c:f>'Summary Tables'!$C$104:$C$118</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Tables'!$D$104:$D$118</c:f>
              <c:numCache>
                <c:formatCode>#,##0</c:formatCode>
                <c:ptCount val="15"/>
                <c:pt idx="0">
                  <c:v>611</c:v>
                </c:pt>
                <c:pt idx="1">
                  <c:v>192</c:v>
                </c:pt>
                <c:pt idx="2">
                  <c:v>257</c:v>
                </c:pt>
                <c:pt idx="3">
                  <c:v>338</c:v>
                </c:pt>
                <c:pt idx="4">
                  <c:v>145</c:v>
                </c:pt>
                <c:pt idx="5">
                  <c:v>273</c:v>
                </c:pt>
                <c:pt idx="6">
                  <c:v>133</c:v>
                </c:pt>
                <c:pt idx="7">
                  <c:v>468</c:v>
                </c:pt>
                <c:pt idx="8">
                  <c:v>202</c:v>
                </c:pt>
                <c:pt idx="9">
                  <c:v>298</c:v>
                </c:pt>
                <c:pt idx="10">
                  <c:v>392</c:v>
                </c:pt>
                <c:pt idx="11">
                  <c:v>398</c:v>
                </c:pt>
                <c:pt idx="12">
                  <c:v>341</c:v>
                </c:pt>
                <c:pt idx="13">
                  <c:v>349</c:v>
                </c:pt>
                <c:pt idx="14">
                  <c:v>297</c:v>
                </c:pt>
              </c:numCache>
            </c:numRef>
          </c:val>
          <c:extLst>
            <c:ext xmlns:c16="http://schemas.microsoft.com/office/drawing/2014/chart" uri="{C3380CC4-5D6E-409C-BE32-E72D297353CC}">
              <c16:uniqueId val="{00000000-264B-4F9D-8C11-E4C05A3E5A46}"/>
            </c:ext>
          </c:extLst>
        </c:ser>
        <c:ser>
          <c:idx val="4"/>
          <c:order val="1"/>
          <c:tx>
            <c:strRef>
              <c:f>'Summary Tables'!$F$102</c:f>
              <c:strCache>
                <c:ptCount val="1"/>
                <c:pt idx="0">
                  <c:v> Affordable</c:v>
                </c:pt>
              </c:strCache>
            </c:strRef>
          </c:tx>
          <c:spPr>
            <a:solidFill>
              <a:schemeClr val="accent3"/>
            </a:solidFill>
            <a:ln w="25400">
              <a:solidFill>
                <a:schemeClr val="accent3"/>
              </a:solidFill>
              <a:prstDash val="solid"/>
              <a:miter lim="800000"/>
            </a:ln>
          </c:spPr>
          <c:invertIfNegative val="0"/>
          <c:cat>
            <c:strRef>
              <c:f>'Summary Tables'!$C$104:$C$118</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Tables'!$F$104:$F$118</c:f>
              <c:numCache>
                <c:formatCode>#,##0</c:formatCode>
                <c:ptCount val="15"/>
                <c:pt idx="0">
                  <c:v>231</c:v>
                </c:pt>
                <c:pt idx="1">
                  <c:v>38</c:v>
                </c:pt>
                <c:pt idx="2">
                  <c:v>3</c:v>
                </c:pt>
                <c:pt idx="3">
                  <c:v>98</c:v>
                </c:pt>
                <c:pt idx="4">
                  <c:v>0</c:v>
                </c:pt>
                <c:pt idx="5">
                  <c:v>126</c:v>
                </c:pt>
                <c:pt idx="6">
                  <c:v>75</c:v>
                </c:pt>
                <c:pt idx="7">
                  <c:v>227</c:v>
                </c:pt>
                <c:pt idx="8">
                  <c:v>33</c:v>
                </c:pt>
                <c:pt idx="9">
                  <c:v>6</c:v>
                </c:pt>
                <c:pt idx="10">
                  <c:v>99</c:v>
                </c:pt>
                <c:pt idx="11">
                  <c:v>62</c:v>
                </c:pt>
                <c:pt idx="12">
                  <c:v>41</c:v>
                </c:pt>
                <c:pt idx="13">
                  <c:v>70</c:v>
                </c:pt>
                <c:pt idx="14">
                  <c:v>34</c:v>
                </c:pt>
              </c:numCache>
            </c:numRef>
          </c:val>
          <c:extLst>
            <c:ext xmlns:c16="http://schemas.microsoft.com/office/drawing/2014/chart" uri="{C3380CC4-5D6E-409C-BE32-E72D297353CC}">
              <c16:uniqueId val="{00000001-264B-4F9D-8C11-E4C05A3E5A46}"/>
            </c:ext>
          </c:extLst>
        </c:ser>
        <c:dLbls>
          <c:showLegendKey val="0"/>
          <c:showVal val="0"/>
          <c:showCatName val="0"/>
          <c:showSerName val="0"/>
          <c:showPercent val="0"/>
          <c:showBubbleSize val="0"/>
        </c:dLbls>
        <c:gapWidth val="118"/>
        <c:overlap val="100"/>
        <c:axId val="324841856"/>
        <c:axId val="324843392"/>
      </c:barChart>
      <c:catAx>
        <c:axId val="32484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3392"/>
        <c:crosses val="autoZero"/>
        <c:auto val="1"/>
        <c:lblAlgn val="ctr"/>
        <c:lblOffset val="100"/>
        <c:tickLblSkip val="1"/>
        <c:tickMarkSkip val="1"/>
        <c:noMultiLvlLbl val="0"/>
      </c:catAx>
      <c:valAx>
        <c:axId val="324843392"/>
        <c:scaling>
          <c:orientation val="minMax"/>
        </c:scaling>
        <c:delete val="0"/>
        <c:axPos val="l"/>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4841856"/>
        <c:crosses val="autoZero"/>
        <c:crossBetween val="between"/>
      </c:valAx>
      <c:spPr>
        <a:noFill/>
        <a:ln w="12700">
          <a:solidFill>
            <a:schemeClr val="bg1">
              <a:lumMod val="50000"/>
            </a:schemeClr>
          </a:solidFill>
          <a:prstDash val="solid"/>
        </a:ln>
      </c:spPr>
    </c:plotArea>
    <c:legend>
      <c:legendPos val="r"/>
      <c:layout>
        <c:manualLayout>
          <c:xMode val="edge"/>
          <c:yMode val="edge"/>
          <c:x val="0.84742787895495542"/>
          <c:y val="7.339772030995903E-2"/>
          <c:w val="0.13210852423144731"/>
          <c:h val="0.19482446326979466"/>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50000"/>
        </a:schemeClr>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50">
                <a:latin typeface="Arial" panose="020B0604020202020204" pitchFamily="34" charset="0"/>
                <a:cs typeface="Arial" panose="020B0604020202020204" pitchFamily="34" charset="0"/>
              </a:defRPr>
            </a:pPr>
            <a:r>
              <a:rPr lang="en-GB" sz="1050">
                <a:latin typeface="Arial" panose="020B0604020202020204" pitchFamily="34" charset="0"/>
                <a:cs typeface="Arial" panose="020B0604020202020204" pitchFamily="34" charset="0"/>
              </a:rPr>
              <a:t>Net completions by tenure and financial year (2005/06 to 2019/20)</a:t>
            </a:r>
          </a:p>
        </c:rich>
      </c:tx>
      <c:layout>
        <c:manualLayout>
          <c:xMode val="edge"/>
          <c:yMode val="edge"/>
          <c:x val="8.3702766909099599E-4"/>
          <c:y val="5.0772643699574672E-3"/>
        </c:manualLayout>
      </c:layout>
      <c:overlay val="0"/>
    </c:title>
    <c:autoTitleDeleted val="0"/>
    <c:plotArea>
      <c:layout>
        <c:manualLayout>
          <c:layoutTarget val="inner"/>
          <c:xMode val="edge"/>
          <c:yMode val="edge"/>
          <c:x val="2.058656869891911E-2"/>
          <c:y val="0.15693824167538528"/>
          <c:w val="0.45464096332246212"/>
          <c:h val="0.71658670308437811"/>
        </c:manualLayout>
      </c:layout>
      <c:pieChart>
        <c:varyColors val="1"/>
        <c:ser>
          <c:idx val="0"/>
          <c:order val="0"/>
          <c:tx>
            <c:strRef>
              <c:f>'Summary Tables'!$D$101</c:f>
              <c:strCache>
                <c:ptCount val="1"/>
                <c:pt idx="0">
                  <c:v>Net completions by tenure and financial year (2005/06 to 2019/20)</c:v>
                </c:pt>
              </c:strCache>
            </c:strRef>
          </c:tx>
          <c:dPt>
            <c:idx val="0"/>
            <c:bubble3D val="0"/>
            <c:spPr>
              <a:solidFill>
                <a:schemeClr val="tx2">
                  <a:lumMod val="60000"/>
                  <a:lumOff val="40000"/>
                </a:schemeClr>
              </a:solidFill>
            </c:spPr>
            <c:extLst>
              <c:ext xmlns:c16="http://schemas.microsoft.com/office/drawing/2014/chart" uri="{C3380CC4-5D6E-409C-BE32-E72D297353CC}">
                <c16:uniqueId val="{00000001-601B-4127-9B4D-C4948222117E}"/>
              </c:ext>
            </c:extLst>
          </c:dPt>
          <c:dPt>
            <c:idx val="1"/>
            <c:bubble3D val="0"/>
            <c:spPr>
              <a:solidFill>
                <a:schemeClr val="accent3"/>
              </a:solidFill>
              <a:ln>
                <a:solidFill>
                  <a:schemeClr val="accent3"/>
                </a:solidFill>
              </a:ln>
            </c:spPr>
            <c:extLst>
              <c:ext xmlns:c16="http://schemas.microsoft.com/office/drawing/2014/chart" uri="{C3380CC4-5D6E-409C-BE32-E72D297353CC}">
                <c16:uniqueId val="{00000003-601B-4127-9B4D-C4948222117E}"/>
              </c:ext>
            </c:extLst>
          </c:dPt>
          <c:dLbls>
            <c:dLbl>
              <c:idx val="0"/>
              <c:layout>
                <c:manualLayout>
                  <c:x val="-0.10983299522488398"/>
                  <c:y val="-0.20023411385945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1B-4127-9B4D-C4948222117E}"/>
                </c:ext>
              </c:extLst>
            </c:dLbl>
            <c:dLbl>
              <c:idx val="1"/>
              <c:layout>
                <c:manualLayout>
                  <c:x val="9.1572856156541427E-2"/>
                  <c:y val="0.14183917705140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1B-4127-9B4D-C4948222117E}"/>
                </c:ext>
              </c:extLst>
            </c:dLbl>
            <c:spPr>
              <a:noFill/>
              <a:ln>
                <a:noFill/>
              </a:ln>
              <a:effectLst/>
            </c:spPr>
            <c:txPr>
              <a:bodyPr/>
              <a:lstStyle/>
              <a:p>
                <a:pPr>
                  <a:defRPr sz="9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('Summary Tables'!$D$102,'Summary Tables'!$F$102)</c:f>
              <c:strCache>
                <c:ptCount val="2"/>
                <c:pt idx="0">
                  <c:v> Open Market</c:v>
                </c:pt>
                <c:pt idx="1">
                  <c:v> Affordable</c:v>
                </c:pt>
              </c:strCache>
            </c:strRef>
          </c:cat>
          <c:val>
            <c:numRef>
              <c:f>('Summary Tables'!$E$119,'Summary Tables'!$G$119)</c:f>
              <c:numCache>
                <c:formatCode>0%</c:formatCode>
                <c:ptCount val="2"/>
                <c:pt idx="0">
                  <c:v>0.80418022956998458</c:v>
                </c:pt>
                <c:pt idx="1">
                  <c:v>0.19581977043001542</c:v>
                </c:pt>
              </c:numCache>
            </c:numRef>
          </c:val>
          <c:extLst>
            <c:ext xmlns:c16="http://schemas.microsoft.com/office/drawing/2014/chart" uri="{C3380CC4-5D6E-409C-BE32-E72D297353CC}">
              <c16:uniqueId val="{00000004-601B-4127-9B4D-C4948222117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49256896981170933"/>
          <c:y val="9.8474941701411273E-2"/>
          <c:w val="0.25406419049563556"/>
          <c:h val="0.16566268878512203"/>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GB" sz="900" b="1"/>
              <a:t>Dwelling </a:t>
            </a:r>
            <a:r>
              <a:rPr lang="en-GB" sz="900" b="1" baseline="0"/>
              <a:t>Size of Net Completions in 2019/20 (All tenures)</a:t>
            </a:r>
            <a:endParaRPr lang="en-GB" sz="900" b="1"/>
          </a:p>
        </c:rich>
      </c:tx>
      <c:layout>
        <c:manualLayout>
          <c:xMode val="edge"/>
          <c:yMode val="edge"/>
          <c:x val="0.24331769806643258"/>
          <c:y val="1.6425863093670771E-2"/>
        </c:manualLayout>
      </c:layout>
      <c:overlay val="0"/>
    </c:title>
    <c:autoTitleDeleted val="0"/>
    <c:plotArea>
      <c:layout>
        <c:manualLayout>
          <c:layoutTarget val="inner"/>
          <c:xMode val="edge"/>
          <c:yMode val="edge"/>
          <c:x val="0.10406571332698999"/>
          <c:y val="0.11901703731972575"/>
          <c:w val="0.86596894923846879"/>
          <c:h val="0.7715330980126005"/>
        </c:manualLayout>
      </c:layout>
      <c:barChart>
        <c:barDir val="col"/>
        <c:grouping val="stacked"/>
        <c:varyColors val="0"/>
        <c:ser>
          <c:idx val="1"/>
          <c:order val="0"/>
          <c:tx>
            <c:strRef>
              <c:f>'Summary Tables'!$G$141</c:f>
              <c:strCache>
                <c:ptCount val="1"/>
                <c:pt idx="0">
                  <c:v>Prior Approvals</c:v>
                </c:pt>
              </c:strCache>
            </c:strRef>
          </c:tx>
          <c:invertIfNegative val="0"/>
          <c:cat>
            <c:strRef>
              <c:f>'Summary Tables'!$C$142:$D$145</c:f>
              <c:strCache>
                <c:ptCount val="4"/>
                <c:pt idx="0">
                  <c:v>1 bed </c:v>
                </c:pt>
                <c:pt idx="1">
                  <c:v>2 bed </c:v>
                </c:pt>
                <c:pt idx="2">
                  <c:v>3 bed </c:v>
                </c:pt>
                <c:pt idx="3">
                  <c:v>4+ bed </c:v>
                </c:pt>
              </c:strCache>
            </c:strRef>
          </c:cat>
          <c:val>
            <c:numRef>
              <c:f>'Summary Tables'!$G$142:$G$145</c:f>
              <c:numCache>
                <c:formatCode>General</c:formatCode>
                <c:ptCount val="4"/>
                <c:pt idx="0">
                  <c:v>32</c:v>
                </c:pt>
                <c:pt idx="1">
                  <c:v>11</c:v>
                </c:pt>
                <c:pt idx="2">
                  <c:v>1</c:v>
                </c:pt>
                <c:pt idx="3">
                  <c:v>2</c:v>
                </c:pt>
              </c:numCache>
            </c:numRef>
          </c:val>
          <c:extLst>
            <c:ext xmlns:c16="http://schemas.microsoft.com/office/drawing/2014/chart" uri="{C3380CC4-5D6E-409C-BE32-E72D297353CC}">
              <c16:uniqueId val="{0000000D-BD5E-40DB-AD5A-D0A65F074035}"/>
            </c:ext>
          </c:extLst>
        </c:ser>
        <c:ser>
          <c:idx val="0"/>
          <c:order val="1"/>
          <c:tx>
            <c:strRef>
              <c:f>'Summary Tables'!$E$141</c:f>
              <c:strCache>
                <c:ptCount val="1"/>
                <c:pt idx="0">
                  <c:v>Permissions</c:v>
                </c:pt>
              </c:strCache>
            </c:strRef>
          </c:tx>
          <c:invertIfNegative val="0"/>
          <c:cat>
            <c:strRef>
              <c:f>'Summary Tables'!$C$142:$D$145</c:f>
              <c:strCache>
                <c:ptCount val="4"/>
                <c:pt idx="0">
                  <c:v>1 bed </c:v>
                </c:pt>
                <c:pt idx="1">
                  <c:v>2 bed </c:v>
                </c:pt>
                <c:pt idx="2">
                  <c:v>3 bed </c:v>
                </c:pt>
                <c:pt idx="3">
                  <c:v>4+ bed </c:v>
                </c:pt>
              </c:strCache>
            </c:strRef>
          </c:cat>
          <c:val>
            <c:numRef>
              <c:f>'Summary Tables'!$E$142:$E$145</c:f>
              <c:numCache>
                <c:formatCode>General</c:formatCode>
                <c:ptCount val="4"/>
                <c:pt idx="0">
                  <c:v>65</c:v>
                </c:pt>
                <c:pt idx="1">
                  <c:v>143</c:v>
                </c:pt>
                <c:pt idx="2">
                  <c:v>60</c:v>
                </c:pt>
                <c:pt idx="3">
                  <c:v>17</c:v>
                </c:pt>
              </c:numCache>
            </c:numRef>
          </c:val>
          <c:extLst>
            <c:ext xmlns:c16="http://schemas.microsoft.com/office/drawing/2014/chart" uri="{C3380CC4-5D6E-409C-BE32-E72D297353CC}">
              <c16:uniqueId val="{0000000C-BD5E-40DB-AD5A-D0A65F074035}"/>
            </c:ext>
          </c:extLst>
        </c:ser>
        <c:dLbls>
          <c:showLegendKey val="0"/>
          <c:showVal val="0"/>
          <c:showCatName val="0"/>
          <c:showSerName val="0"/>
          <c:showPercent val="0"/>
          <c:showBubbleSize val="0"/>
        </c:dLbls>
        <c:gapWidth val="113"/>
        <c:overlap val="100"/>
        <c:axId val="324678400"/>
        <c:axId val="324679936"/>
      </c:barChart>
      <c:catAx>
        <c:axId val="32467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rtl="0">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9936"/>
        <c:crosses val="autoZero"/>
        <c:auto val="1"/>
        <c:lblAlgn val="ctr"/>
        <c:lblOffset val="100"/>
        <c:noMultiLvlLbl val="0"/>
      </c:catAx>
      <c:valAx>
        <c:axId val="324679936"/>
        <c:scaling>
          <c:orientation val="minMax"/>
          <c:max val="160"/>
          <c:min val="0"/>
        </c:scaling>
        <c:delete val="0"/>
        <c:axPos val="l"/>
        <c:majorGridlines>
          <c:spPr>
            <a:ln w="3175">
              <a:solidFill>
                <a:srgbClr val="969696"/>
              </a:solidFill>
              <a:prstDash val="solid"/>
            </a:ln>
          </c:spPr>
        </c:majorGridlines>
        <c:title>
          <c:tx>
            <c:rich>
              <a:bodyPr rot="-5400000" vert="horz"/>
              <a:lstStyle/>
              <a:p>
                <a:pPr>
                  <a:defRPr/>
                </a:pPr>
                <a:r>
                  <a:rPr lang="en-GB" b="1"/>
                  <a:t>Numberr of units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4678400"/>
        <c:crosses val="autoZero"/>
        <c:crossBetween val="between"/>
        <c:majorUnit val="20"/>
      </c:valAx>
      <c:spPr>
        <a:noFill/>
        <a:ln w="12700">
          <a:solidFill>
            <a:srgbClr val="969696"/>
          </a:solidFill>
          <a:prstDash val="solid"/>
        </a:ln>
      </c:spPr>
    </c:plotArea>
    <c:legend>
      <c:legendPos val="t"/>
      <c:layout>
        <c:manualLayout>
          <c:xMode val="edge"/>
          <c:yMode val="edge"/>
          <c:x val="0.76772064616433"/>
          <c:y val="0.12919556422574219"/>
          <c:w val="0.19927232559796706"/>
          <c:h val="0.16059247481859873"/>
        </c:manualLayout>
      </c:layout>
      <c:overlay val="0"/>
      <c:spPr>
        <a:solidFill>
          <a:schemeClr val="bg1"/>
        </a:solidFill>
      </c:spPr>
    </c:legend>
    <c:plotVisOnly val="1"/>
    <c:dispBlanksAs val="gap"/>
    <c:showDLblsOverMax val="0"/>
  </c:chart>
  <c:spPr>
    <a:solidFill>
      <a:srgbClr val="FFFFFF"/>
    </a:solidFill>
    <a:ln w="3175">
      <a:solidFill>
        <a:schemeClr val="bg1">
          <a:lumMod val="50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GB" sz="1000">
                <a:latin typeface="Arial" panose="020B0604020202020204" pitchFamily="34" charset="0"/>
                <a:cs typeface="Arial" panose="020B0604020202020204" pitchFamily="34" charset="0"/>
              </a:rPr>
              <a:t>Proportion of housing completions provided by large sites</a:t>
            </a:r>
          </a:p>
        </c:rich>
      </c:tx>
      <c:overlay val="1"/>
    </c:title>
    <c:autoTitleDeleted val="0"/>
    <c:plotArea>
      <c:layout>
        <c:manualLayout>
          <c:layoutTarget val="inner"/>
          <c:xMode val="edge"/>
          <c:yMode val="edge"/>
          <c:x val="8.6616442099943791E-2"/>
          <c:y val="0.1274504604450217"/>
          <c:w val="0.88456888861387417"/>
          <c:h val="0.66614786553742644"/>
        </c:manualLayout>
      </c:layout>
      <c:barChart>
        <c:barDir val="col"/>
        <c:grouping val="clustered"/>
        <c:varyColors val="0"/>
        <c:ser>
          <c:idx val="0"/>
          <c:order val="0"/>
          <c:tx>
            <c:strRef>
              <c:f>'Summary Tables'!$D$168</c:f>
              <c:strCache>
                <c:ptCount val="1"/>
                <c:pt idx="0">
                  <c:v>%</c:v>
                </c:pt>
              </c:strCache>
            </c:strRef>
          </c:tx>
          <c:spPr>
            <a:solidFill>
              <a:schemeClr val="accent1">
                <a:lumMod val="75000"/>
              </a:schemeClr>
            </a:solidFill>
          </c:spPr>
          <c:invertIfNegative val="0"/>
          <c:dLbls>
            <c:dLbl>
              <c:idx val="0"/>
              <c:layout>
                <c:manualLayout>
                  <c:x val="5.6251137698787009E-3"/>
                  <c:y val="4.67289719626168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E1-4DB1-A0F1-4FF536AF232E}"/>
                </c:ext>
              </c:extLst>
            </c:dLbl>
            <c:dLbl>
              <c:idx val="15"/>
              <c:numFmt formatCode="0%" sourceLinked="0"/>
              <c:spPr>
                <a:no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0B9-40BD-9D36-B15ED3C8B688}"/>
                </c:ext>
              </c:extLst>
            </c:dLbl>
            <c:dLbl>
              <c:idx val="16"/>
              <c:numFmt formatCode="0%" sourceLinked="0"/>
              <c:spPr>
                <a:no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0B9-40BD-9D36-B15ED3C8B688}"/>
                </c:ext>
              </c:extLst>
            </c:dLbl>
            <c:numFmt formatCode="0%" sourceLinked="0"/>
            <c:spPr>
              <a:solidFill>
                <a:schemeClr val="bg1"/>
              </a:solidFill>
              <a:ln w="3175">
                <a:noFill/>
              </a:ln>
            </c:spPr>
            <c:txPr>
              <a:bodyPr/>
              <a:lstStyle/>
              <a:p>
                <a:pPr>
                  <a:defRPr sz="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Tables'!$C$169:$C$185</c:f>
              <c:strCache>
                <c:ptCount val="17"/>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strCache>
            </c:strRef>
          </c:cat>
          <c:val>
            <c:numRef>
              <c:f>'Summary Tables'!$D$169:$D$185</c:f>
              <c:numCache>
                <c:formatCode>0%</c:formatCode>
                <c:ptCount val="17"/>
                <c:pt idx="0">
                  <c:v>0.5</c:v>
                </c:pt>
                <c:pt idx="1">
                  <c:v>0.72</c:v>
                </c:pt>
                <c:pt idx="2">
                  <c:v>0.83</c:v>
                </c:pt>
                <c:pt idx="3">
                  <c:v>0.41</c:v>
                </c:pt>
                <c:pt idx="4">
                  <c:v>0.27</c:v>
                </c:pt>
                <c:pt idx="5">
                  <c:v>0.61</c:v>
                </c:pt>
                <c:pt idx="6">
                  <c:v>7.0000000000000007E-2</c:v>
                </c:pt>
                <c:pt idx="7">
                  <c:v>0.67</c:v>
                </c:pt>
                <c:pt idx="8">
                  <c:v>0.3</c:v>
                </c:pt>
                <c:pt idx="9">
                  <c:v>0.79</c:v>
                </c:pt>
                <c:pt idx="10">
                  <c:v>0.73</c:v>
                </c:pt>
                <c:pt idx="11">
                  <c:v>0.22</c:v>
                </c:pt>
                <c:pt idx="12">
                  <c:v>0.38</c:v>
                </c:pt>
                <c:pt idx="13">
                  <c:v>0.47</c:v>
                </c:pt>
                <c:pt idx="14">
                  <c:v>0.56999999999999995</c:v>
                </c:pt>
                <c:pt idx="15">
                  <c:v>0.70167064439140814</c:v>
                </c:pt>
                <c:pt idx="16">
                  <c:v>0.70392749244712993</c:v>
                </c:pt>
              </c:numCache>
            </c:numRef>
          </c:val>
          <c:extLst>
            <c:ext xmlns:c16="http://schemas.microsoft.com/office/drawing/2014/chart" uri="{C3380CC4-5D6E-409C-BE32-E72D297353CC}">
              <c16:uniqueId val="{00000001-95E1-4DB1-A0F1-4FF536AF232E}"/>
            </c:ext>
          </c:extLst>
        </c:ser>
        <c:dLbls>
          <c:showLegendKey val="0"/>
          <c:showVal val="0"/>
          <c:showCatName val="0"/>
          <c:showSerName val="0"/>
          <c:showPercent val="0"/>
          <c:showBubbleSize val="0"/>
        </c:dLbls>
        <c:gapWidth val="54"/>
        <c:axId val="325008000"/>
        <c:axId val="325013888"/>
      </c:barChart>
      <c:catAx>
        <c:axId val="32500800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13888"/>
        <c:crosses val="autoZero"/>
        <c:auto val="1"/>
        <c:lblAlgn val="ctr"/>
        <c:lblOffset val="100"/>
        <c:noMultiLvlLbl val="0"/>
      </c:catAx>
      <c:valAx>
        <c:axId val="325013888"/>
        <c:scaling>
          <c:orientation val="minMax"/>
          <c:max val="0.9"/>
        </c:scaling>
        <c:delete val="0"/>
        <c:axPos val="l"/>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25008000"/>
        <c:crosses val="autoZero"/>
        <c:crossBetween val="between"/>
      </c:valAx>
    </c:plotArea>
    <c:plotVisOnly val="1"/>
    <c:dispBlanksAs val="gap"/>
    <c:showDLblsOverMax val="0"/>
  </c:chart>
  <c:spPr>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GB"/>
              <a:t>Completions by Ward 2019/20</a:t>
            </a:r>
          </a:p>
        </c:rich>
      </c:tx>
      <c:layout>
        <c:manualLayout>
          <c:xMode val="edge"/>
          <c:yMode val="edge"/>
          <c:x val="0.40735926191044303"/>
          <c:y val="1.3368983957219251E-2"/>
        </c:manualLayout>
      </c:layout>
      <c:overlay val="0"/>
      <c:spPr>
        <a:noFill/>
        <a:ln w="25400">
          <a:noFill/>
        </a:ln>
      </c:spPr>
    </c:title>
    <c:autoTitleDeleted val="0"/>
    <c:plotArea>
      <c:layout>
        <c:manualLayout>
          <c:layoutTarget val="inner"/>
          <c:xMode val="edge"/>
          <c:yMode val="edge"/>
          <c:x val="0.37868124718705576"/>
          <c:y val="7.2401732915915631E-2"/>
          <c:w val="0.5882621463488541"/>
          <c:h val="0.84446573696360239"/>
        </c:manualLayout>
      </c:layout>
      <c:barChart>
        <c:barDir val="bar"/>
        <c:grouping val="clustered"/>
        <c:varyColors val="0"/>
        <c:ser>
          <c:idx val="1"/>
          <c:order val="0"/>
          <c:tx>
            <c:strRef>
              <c:f>'Summary Tables'!$H$232</c:f>
              <c:strCache>
                <c:ptCount val="1"/>
                <c:pt idx="0">
                  <c:v>Net Gain</c:v>
                </c:pt>
              </c:strCache>
            </c:strRef>
          </c:tx>
          <c:spPr>
            <a:solidFill>
              <a:schemeClr val="tx2">
                <a:lumMod val="60000"/>
                <a:lumOff val="40000"/>
              </a:schemeClr>
            </a:solidFill>
            <a:ln w="12700">
              <a:solidFill>
                <a:srgbClr val="000000"/>
              </a:solidFill>
            </a:ln>
          </c:spPr>
          <c:invertIfNegative val="0"/>
          <c:dLbls>
            <c:delete val="1"/>
          </c:dLbls>
          <c:cat>
            <c:strRef>
              <c:f>'Summary Tables'!$C$233:$C$250</c:f>
              <c:strCache>
                <c:ptCount val="18"/>
                <c:pt idx="0">
                  <c:v>Barnes</c:v>
                </c:pt>
                <c:pt idx="1">
                  <c:v>East Sheen</c:v>
                </c:pt>
                <c:pt idx="2">
                  <c:v>Fulwell and Hampton Hill</c:v>
                </c:pt>
                <c:pt idx="3">
                  <c:v>Ham, Petersham and Richmond Riverside</c:v>
                </c:pt>
                <c:pt idx="4">
                  <c:v>Hampton</c:v>
                </c:pt>
                <c:pt idx="5">
                  <c:v>Hampton North</c:v>
                </c:pt>
                <c:pt idx="6">
                  <c:v>Hampton Wick</c:v>
                </c:pt>
                <c:pt idx="7">
                  <c:v>Heathfield</c:v>
                </c:pt>
                <c:pt idx="8">
                  <c:v>Kew</c:v>
                </c:pt>
                <c:pt idx="9">
                  <c:v>Mortlake and Barnes Common</c:v>
                </c:pt>
                <c:pt idx="10">
                  <c:v>North Richmond</c:v>
                </c:pt>
                <c:pt idx="11">
                  <c:v>South Richmond</c:v>
                </c:pt>
                <c:pt idx="12">
                  <c:v>South Twickenham</c:v>
                </c:pt>
                <c:pt idx="13">
                  <c:v>St. Margarets and North Twickenham</c:v>
                </c:pt>
                <c:pt idx="14">
                  <c:v>Teddington</c:v>
                </c:pt>
                <c:pt idx="15">
                  <c:v>Twickenham Riverside</c:v>
                </c:pt>
                <c:pt idx="16">
                  <c:v>West Twickenham</c:v>
                </c:pt>
                <c:pt idx="17">
                  <c:v>Whitton</c:v>
                </c:pt>
              </c:strCache>
            </c:strRef>
          </c:cat>
          <c:val>
            <c:numRef>
              <c:f>'Summary Tables'!$H$233:$H$250</c:f>
              <c:numCache>
                <c:formatCode>#,##0</c:formatCode>
                <c:ptCount val="18"/>
                <c:pt idx="0">
                  <c:v>4</c:v>
                </c:pt>
                <c:pt idx="1">
                  <c:v>4</c:v>
                </c:pt>
                <c:pt idx="2">
                  <c:v>30</c:v>
                </c:pt>
                <c:pt idx="3">
                  <c:v>33</c:v>
                </c:pt>
                <c:pt idx="4">
                  <c:v>5</c:v>
                </c:pt>
                <c:pt idx="5">
                  <c:v>-1</c:v>
                </c:pt>
                <c:pt idx="6">
                  <c:v>15</c:v>
                </c:pt>
                <c:pt idx="7">
                  <c:v>1</c:v>
                </c:pt>
                <c:pt idx="8">
                  <c:v>7</c:v>
                </c:pt>
                <c:pt idx="9">
                  <c:v>11</c:v>
                </c:pt>
                <c:pt idx="10">
                  <c:v>4</c:v>
                </c:pt>
                <c:pt idx="11">
                  <c:v>0</c:v>
                </c:pt>
                <c:pt idx="12">
                  <c:v>12</c:v>
                </c:pt>
                <c:pt idx="13">
                  <c:v>28</c:v>
                </c:pt>
                <c:pt idx="14">
                  <c:v>164</c:v>
                </c:pt>
                <c:pt idx="15">
                  <c:v>7</c:v>
                </c:pt>
                <c:pt idx="16">
                  <c:v>2</c:v>
                </c:pt>
                <c:pt idx="17">
                  <c:v>5</c:v>
                </c:pt>
              </c:numCache>
            </c:numRef>
          </c:val>
          <c:extLst>
            <c:ext xmlns:c16="http://schemas.microsoft.com/office/drawing/2014/chart" uri="{C3380CC4-5D6E-409C-BE32-E72D297353CC}">
              <c16:uniqueId val="{00000000-D3C6-4706-94C2-82B791ED53F7}"/>
            </c:ext>
          </c:extLst>
        </c:ser>
        <c:dLbls>
          <c:showLegendKey val="0"/>
          <c:showVal val="1"/>
          <c:showCatName val="0"/>
          <c:showSerName val="0"/>
          <c:showPercent val="0"/>
          <c:showBubbleSize val="0"/>
        </c:dLbls>
        <c:gapWidth val="0"/>
        <c:overlap val="100"/>
        <c:axId val="324732032"/>
        <c:axId val="324733568"/>
      </c:barChart>
      <c:catAx>
        <c:axId val="324732032"/>
        <c:scaling>
          <c:orientation val="maxMin"/>
        </c:scaling>
        <c:delete val="0"/>
        <c:axPos val="l"/>
        <c:numFmt formatCode="General" sourceLinked="1"/>
        <c:majorTickMark val="out"/>
        <c:minorTickMark val="none"/>
        <c:tickLblPos val="low"/>
        <c:txPr>
          <a:bodyPr rot="0" vert="horz"/>
          <a:lstStyle/>
          <a:p>
            <a:pPr>
              <a:defRPr/>
            </a:pPr>
            <a:endParaRPr lang="en-US"/>
          </a:p>
        </c:txPr>
        <c:crossAx val="324733568"/>
        <c:crossesAt val="0"/>
        <c:auto val="1"/>
        <c:lblAlgn val="ctr"/>
        <c:lblOffset val="100"/>
        <c:tickLblSkip val="1"/>
        <c:noMultiLvlLbl val="0"/>
      </c:catAx>
      <c:valAx>
        <c:axId val="324733568"/>
        <c:scaling>
          <c:orientation val="minMax"/>
          <c:min val="0"/>
        </c:scaling>
        <c:delete val="0"/>
        <c:axPos val="b"/>
        <c:majorGridlines>
          <c:spPr>
            <a:ln w="3175">
              <a:solidFill>
                <a:srgbClr val="BEBEBE"/>
              </a:solidFill>
              <a:prstDash val="solid"/>
            </a:ln>
          </c:spPr>
        </c:majorGridlines>
        <c:minorGridlines/>
        <c:numFmt formatCode="General" sourceLinked="0"/>
        <c:majorTickMark val="out"/>
        <c:minorTickMark val="out"/>
        <c:tickLblPos val="high"/>
        <c:spPr>
          <a:ln>
            <a:solidFill>
              <a:schemeClr val="bg1">
                <a:lumMod val="75000"/>
              </a:schemeClr>
            </a:solidFill>
          </a:ln>
        </c:spPr>
        <c:txPr>
          <a:bodyPr rot="0" vert="horz"/>
          <a:lstStyle/>
          <a:p>
            <a:pPr>
              <a:defRPr/>
            </a:pPr>
            <a:endParaRPr lang="en-US"/>
          </a:p>
        </c:txPr>
        <c:crossAx val="324732032"/>
        <c:crosses val="max"/>
        <c:crossBetween val="between"/>
        <c:minorUnit val="50"/>
      </c:valAx>
    </c:plotArea>
    <c:plotVisOnly val="1"/>
    <c:dispBlanksAs val="gap"/>
    <c:showDLblsOverMax val="0"/>
  </c:chart>
  <c:spPr>
    <a:solidFill>
      <a:srgbClr val="FFFFFF"/>
    </a:solidFill>
    <a:ln w="3175">
      <a:solidFill>
        <a:schemeClr val="bg1">
          <a:lumMod val="50000"/>
        </a:schemeClr>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85735601933279E-2"/>
          <c:y val="2.2194088484037533E-2"/>
          <c:w val="0.5950272836468723"/>
          <c:h val="0.94294752371639823"/>
        </c:manualLayout>
      </c:layout>
      <c:pieChart>
        <c:varyColors val="1"/>
        <c:ser>
          <c:idx val="0"/>
          <c:order val="0"/>
          <c:tx>
            <c:strRef>
              <c:f>'Summary Tables'!$C$261:$D$261</c:f>
              <c:strCache>
                <c:ptCount val="2"/>
                <c:pt idx="0">
                  <c:v>Market</c:v>
                </c:pt>
              </c:strCache>
            </c:strRef>
          </c:tx>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56D6-48C5-9DB5-11DDFCEB6D0A}"/>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56D6-48C5-9DB5-11DDFCEB6D0A}"/>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56D6-48C5-9DB5-11DDFCEB6D0A}"/>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56D6-48C5-9DB5-11DDFCEB6D0A}"/>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56D6-48C5-9DB5-11DDFCEB6D0A}"/>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56D6-48C5-9DB5-11DDFCEB6D0A}"/>
              </c:ext>
            </c:extLst>
          </c:dPt>
          <c:cat>
            <c:strRef>
              <c:f>'Summary Tables'!$E$260:$H$260</c:f>
              <c:strCache>
                <c:ptCount val="4"/>
                <c:pt idx="0">
                  <c:v>1 bed</c:v>
                </c:pt>
                <c:pt idx="1">
                  <c:v>2 bed</c:v>
                </c:pt>
                <c:pt idx="2">
                  <c:v>3 bed</c:v>
                </c:pt>
                <c:pt idx="3">
                  <c:v>4 + bed</c:v>
                </c:pt>
              </c:strCache>
            </c:strRef>
          </c:cat>
          <c:val>
            <c:numRef>
              <c:f>'Summary Tables'!$E$261:$H$261</c:f>
              <c:numCache>
                <c:formatCode>#,##0</c:formatCode>
                <c:ptCount val="4"/>
                <c:pt idx="0">
                  <c:v>44</c:v>
                </c:pt>
                <c:pt idx="1">
                  <c:v>114</c:v>
                </c:pt>
                <c:pt idx="2">
                  <c:v>62</c:v>
                </c:pt>
                <c:pt idx="3">
                  <c:v>15</c:v>
                </c:pt>
              </c:numCache>
            </c:numRef>
          </c:val>
          <c:extLst>
            <c:ext xmlns:c16="http://schemas.microsoft.com/office/drawing/2014/chart" uri="{C3380CC4-5D6E-409C-BE32-E72D297353CC}">
              <c16:uniqueId val="{0000000C-56D6-48C5-9DB5-11DDFCEB6D0A}"/>
            </c:ext>
          </c:extLst>
        </c:ser>
        <c:ser>
          <c:idx val="1"/>
          <c:order val="1"/>
          <c:tx>
            <c:strRef>
              <c:f>'Summary Tables'!$C$262:$D$262</c:f>
              <c:strCache>
                <c:ptCount val="2"/>
                <c:pt idx="0">
                  <c:v>Market</c:v>
                </c:pt>
              </c:strCache>
            </c:strRef>
          </c:tx>
          <c:cat>
            <c:strRef>
              <c:f>'Summary Tables'!$E$260:$H$260</c:f>
              <c:strCache>
                <c:ptCount val="4"/>
                <c:pt idx="0">
                  <c:v>1 bed</c:v>
                </c:pt>
                <c:pt idx="1">
                  <c:v>2 bed</c:v>
                </c:pt>
                <c:pt idx="2">
                  <c:v>3 bed</c:v>
                </c:pt>
                <c:pt idx="3">
                  <c:v>4 + bed</c:v>
                </c:pt>
              </c:strCache>
            </c:strRef>
          </c:cat>
          <c:val>
            <c:numRef>
              <c:f>'Summary Tables'!$E$262:$H$262</c:f>
              <c:numCache>
                <c:formatCode>0%</c:formatCode>
                <c:ptCount val="4"/>
                <c:pt idx="0">
                  <c:v>0.16356877323420074</c:v>
                </c:pt>
                <c:pt idx="1">
                  <c:v>0.42379182156133827</c:v>
                </c:pt>
                <c:pt idx="2">
                  <c:v>0.23048327137546468</c:v>
                </c:pt>
                <c:pt idx="3">
                  <c:v>5.5762081784386616E-2</c:v>
                </c:pt>
              </c:numCache>
            </c:numRef>
          </c:val>
          <c:extLst>
            <c:ext xmlns:c16="http://schemas.microsoft.com/office/drawing/2014/chart" uri="{C3380CC4-5D6E-409C-BE32-E72D297353CC}">
              <c16:uniqueId val="{0000000C-F83B-4C41-915A-8EE317D32B53}"/>
            </c:ext>
          </c:extLst>
        </c:ser>
        <c:ser>
          <c:idx val="2"/>
          <c:order val="2"/>
          <c:tx>
            <c:strRef>
              <c:f>'Summary Tables'!$C$263:$D$263</c:f>
              <c:strCache>
                <c:ptCount val="2"/>
                <c:pt idx="0">
                  <c:v>Intermediate</c:v>
                </c:pt>
              </c:strCache>
            </c:strRef>
          </c:tx>
          <c:cat>
            <c:strRef>
              <c:f>'Summary Tables'!$E$260:$H$260</c:f>
              <c:strCache>
                <c:ptCount val="4"/>
                <c:pt idx="0">
                  <c:v>1 bed</c:v>
                </c:pt>
                <c:pt idx="1">
                  <c:v>2 bed</c:v>
                </c:pt>
                <c:pt idx="2">
                  <c:v>3 bed</c:v>
                </c:pt>
                <c:pt idx="3">
                  <c:v>4 + bed</c:v>
                </c:pt>
              </c:strCache>
            </c:strRef>
          </c:cat>
          <c:val>
            <c:numRef>
              <c:f>'Summary Tables'!$E$263:$H$263</c:f>
              <c:numCache>
                <c:formatCode>#,##0</c:formatCode>
                <c:ptCount val="4"/>
                <c:pt idx="0">
                  <c:v>0</c:v>
                </c:pt>
                <c:pt idx="1">
                  <c:v>0</c:v>
                </c:pt>
                <c:pt idx="2">
                  <c:v>0</c:v>
                </c:pt>
                <c:pt idx="3">
                  <c:v>0</c:v>
                </c:pt>
              </c:numCache>
            </c:numRef>
          </c:val>
          <c:extLst>
            <c:ext xmlns:c16="http://schemas.microsoft.com/office/drawing/2014/chart" uri="{C3380CC4-5D6E-409C-BE32-E72D297353CC}">
              <c16:uniqueId val="{0000000D-F83B-4C41-915A-8EE317D32B53}"/>
            </c:ext>
          </c:extLst>
        </c:ser>
        <c:ser>
          <c:idx val="3"/>
          <c:order val="3"/>
          <c:tx>
            <c:strRef>
              <c:f>'Summary Tables'!$C$264:$D$264</c:f>
              <c:strCache>
                <c:ptCount val="2"/>
                <c:pt idx="0">
                  <c:v>Intermediate</c:v>
                </c:pt>
              </c:strCache>
            </c:strRef>
          </c:tx>
          <c:cat>
            <c:strRef>
              <c:f>'Summary Tables'!$E$260:$H$260</c:f>
              <c:strCache>
                <c:ptCount val="4"/>
                <c:pt idx="0">
                  <c:v>1 bed</c:v>
                </c:pt>
                <c:pt idx="1">
                  <c:v>2 bed</c:v>
                </c:pt>
                <c:pt idx="2">
                  <c:v>3 bed</c:v>
                </c:pt>
                <c:pt idx="3">
                  <c:v>4 + bed</c:v>
                </c:pt>
              </c:strCache>
            </c:strRef>
          </c:cat>
          <c:val>
            <c:numRef>
              <c:f>'Summary Tables'!$E$264:$H$264</c:f>
              <c:numCache>
                <c:formatCode>0%</c:formatCode>
                <c:ptCount val="4"/>
                <c:pt idx="0">
                  <c:v>0</c:v>
                </c:pt>
                <c:pt idx="1">
                  <c:v>0</c:v>
                </c:pt>
                <c:pt idx="2">
                  <c:v>0</c:v>
                </c:pt>
                <c:pt idx="3">
                  <c:v>0</c:v>
                </c:pt>
              </c:numCache>
            </c:numRef>
          </c:val>
          <c:extLst>
            <c:ext xmlns:c16="http://schemas.microsoft.com/office/drawing/2014/chart" uri="{C3380CC4-5D6E-409C-BE32-E72D297353CC}">
              <c16:uniqueId val="{0000000E-F83B-4C41-915A-8EE317D32B53}"/>
            </c:ext>
          </c:extLst>
        </c:ser>
        <c:ser>
          <c:idx val="4"/>
          <c:order val="4"/>
          <c:tx>
            <c:strRef>
              <c:f>'Summary Tables'!$C$265:$D$265</c:f>
              <c:strCache>
                <c:ptCount val="2"/>
                <c:pt idx="0">
                  <c:v>Affordable Rented</c:v>
                </c:pt>
              </c:strCache>
            </c:strRef>
          </c:tx>
          <c:cat>
            <c:strRef>
              <c:f>'Summary Tables'!$E$260:$H$260</c:f>
              <c:strCache>
                <c:ptCount val="4"/>
                <c:pt idx="0">
                  <c:v>1 bed</c:v>
                </c:pt>
                <c:pt idx="1">
                  <c:v>2 bed</c:v>
                </c:pt>
                <c:pt idx="2">
                  <c:v>3 bed</c:v>
                </c:pt>
                <c:pt idx="3">
                  <c:v>4 + bed</c:v>
                </c:pt>
              </c:strCache>
            </c:strRef>
          </c:cat>
          <c:val>
            <c:numRef>
              <c:f>'Summary Tables'!$E$265:$H$265</c:f>
              <c:numCache>
                <c:formatCode>#,##0</c:formatCode>
                <c:ptCount val="4"/>
                <c:pt idx="0">
                  <c:v>9</c:v>
                </c:pt>
                <c:pt idx="1">
                  <c:v>20</c:v>
                </c:pt>
                <c:pt idx="2">
                  <c:v>5</c:v>
                </c:pt>
                <c:pt idx="3">
                  <c:v>0</c:v>
                </c:pt>
              </c:numCache>
            </c:numRef>
          </c:val>
          <c:extLst>
            <c:ext xmlns:c16="http://schemas.microsoft.com/office/drawing/2014/chart" uri="{C3380CC4-5D6E-409C-BE32-E72D297353CC}">
              <c16:uniqueId val="{0000000F-F83B-4C41-915A-8EE317D32B53}"/>
            </c:ext>
          </c:extLst>
        </c:ser>
        <c:ser>
          <c:idx val="5"/>
          <c:order val="5"/>
          <c:tx>
            <c:strRef>
              <c:f>'Summary Tables'!$C$266:$D$266</c:f>
              <c:strCache>
                <c:ptCount val="2"/>
                <c:pt idx="0">
                  <c:v>Affordable Rented</c:v>
                </c:pt>
              </c:strCache>
            </c:strRef>
          </c:tx>
          <c:cat>
            <c:strRef>
              <c:f>'Summary Tables'!$E$260:$H$260</c:f>
              <c:strCache>
                <c:ptCount val="4"/>
                <c:pt idx="0">
                  <c:v>1 bed</c:v>
                </c:pt>
                <c:pt idx="1">
                  <c:v>2 bed</c:v>
                </c:pt>
                <c:pt idx="2">
                  <c:v>3 bed</c:v>
                </c:pt>
                <c:pt idx="3">
                  <c:v>4 + bed</c:v>
                </c:pt>
              </c:strCache>
            </c:strRef>
          </c:cat>
          <c:val>
            <c:numRef>
              <c:f>'Summary Tables'!$E$266:$H$266</c:f>
              <c:numCache>
                <c:formatCode>0%</c:formatCode>
                <c:ptCount val="4"/>
                <c:pt idx="0">
                  <c:v>3.3457249070631967E-2</c:v>
                </c:pt>
                <c:pt idx="1">
                  <c:v>7.434944237918216E-2</c:v>
                </c:pt>
                <c:pt idx="2">
                  <c:v>1.858736059479554E-2</c:v>
                </c:pt>
                <c:pt idx="3">
                  <c:v>0</c:v>
                </c:pt>
              </c:numCache>
            </c:numRef>
          </c:val>
          <c:extLst>
            <c:ext xmlns:c16="http://schemas.microsoft.com/office/drawing/2014/chart" uri="{C3380CC4-5D6E-409C-BE32-E72D297353CC}">
              <c16:uniqueId val="{00000010-F83B-4C41-915A-8EE317D32B5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874345549738221"/>
          <c:y val="0.15686343128677543"/>
          <c:w val="0.23790150246967159"/>
          <c:h val="0.5559748168733810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chemeClr val="bg1">
          <a:lumMod val="50000"/>
        </a:schemeClr>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3933727034122E-2"/>
          <c:y val="3.7866913694611704E-2"/>
          <c:w val="0.62285474081364833"/>
          <c:h val="0.93794596263702334"/>
        </c:manualLayout>
      </c:layout>
      <c:pieChart>
        <c:varyColors val="1"/>
        <c:ser>
          <c:idx val="0"/>
          <c:order val="0"/>
          <c:spPr>
            <a:solidFill>
              <a:srgbClr val="9999FF"/>
            </a:solidFill>
            <a:ln w="12700">
              <a:solidFill>
                <a:srgbClr val="000000"/>
              </a:solidFill>
              <a:prstDash val="solid"/>
            </a:ln>
          </c:spPr>
          <c:dPt>
            <c:idx val="0"/>
            <c:bubble3D val="0"/>
            <c:spPr>
              <a:solidFill>
                <a:schemeClr val="accent1">
                  <a:lumMod val="20000"/>
                  <a:lumOff val="80000"/>
                </a:schemeClr>
              </a:solidFill>
              <a:ln w="12700">
                <a:solidFill>
                  <a:srgbClr val="000000"/>
                </a:solidFill>
                <a:prstDash val="solid"/>
              </a:ln>
            </c:spPr>
            <c:extLst>
              <c:ext xmlns:c16="http://schemas.microsoft.com/office/drawing/2014/chart" uri="{C3380CC4-5D6E-409C-BE32-E72D297353CC}">
                <c16:uniqueId val="{00000001-009B-4620-9AAB-97C67D9742EC}"/>
              </c:ext>
            </c:extLst>
          </c:dPt>
          <c:dPt>
            <c:idx val="1"/>
            <c:bubble3D val="0"/>
            <c:spPr>
              <a:solidFill>
                <a:schemeClr val="accent1">
                  <a:lumMod val="40000"/>
                  <a:lumOff val="60000"/>
                </a:schemeClr>
              </a:solidFill>
              <a:ln w="12700">
                <a:solidFill>
                  <a:srgbClr val="000000"/>
                </a:solidFill>
                <a:prstDash val="solid"/>
              </a:ln>
            </c:spPr>
            <c:extLst>
              <c:ext xmlns:c16="http://schemas.microsoft.com/office/drawing/2014/chart" uri="{C3380CC4-5D6E-409C-BE32-E72D297353CC}">
                <c16:uniqueId val="{00000003-009B-4620-9AAB-97C67D9742EC}"/>
              </c:ext>
            </c:extLst>
          </c:dPt>
          <c:dPt>
            <c:idx val="2"/>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5-009B-4620-9AAB-97C67D9742EC}"/>
              </c:ext>
            </c:extLst>
          </c:dPt>
          <c:dPt>
            <c:idx val="3"/>
            <c:bubble3D val="0"/>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7-009B-4620-9AAB-97C67D9742EC}"/>
              </c:ext>
            </c:extLst>
          </c:dPt>
          <c:dPt>
            <c:idx val="4"/>
            <c:bubble3D val="0"/>
            <c:spPr>
              <a:solidFill>
                <a:schemeClr val="accent1">
                  <a:lumMod val="50000"/>
                </a:schemeClr>
              </a:solidFill>
              <a:ln w="12700">
                <a:solidFill>
                  <a:srgbClr val="000000"/>
                </a:solidFill>
                <a:prstDash val="solid"/>
              </a:ln>
            </c:spPr>
            <c:extLst>
              <c:ext xmlns:c16="http://schemas.microsoft.com/office/drawing/2014/chart" uri="{C3380CC4-5D6E-409C-BE32-E72D297353CC}">
                <c16:uniqueId val="{00000009-009B-4620-9AAB-97C67D9742EC}"/>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B-009B-4620-9AAB-97C67D9742EC}"/>
              </c:ext>
            </c:extLst>
          </c:dPt>
          <c:cat>
            <c:strRef>
              <c:f>'Summary Tables'!$E$272:$H$272</c:f>
              <c:strCache>
                <c:ptCount val="4"/>
                <c:pt idx="0">
                  <c:v>1 bed</c:v>
                </c:pt>
                <c:pt idx="1">
                  <c:v>2 bed</c:v>
                </c:pt>
                <c:pt idx="2">
                  <c:v>3 bed</c:v>
                </c:pt>
                <c:pt idx="3">
                  <c:v>4 + bed</c:v>
                </c:pt>
              </c:strCache>
            </c:strRef>
          </c:cat>
          <c:val>
            <c:numRef>
              <c:f>'Summary Tables'!$E$273:$H$273</c:f>
              <c:numCache>
                <c:formatCode>#,##0</c:formatCode>
                <c:ptCount val="4"/>
                <c:pt idx="0">
                  <c:v>103</c:v>
                </c:pt>
                <c:pt idx="1">
                  <c:v>208</c:v>
                </c:pt>
                <c:pt idx="2">
                  <c:v>57</c:v>
                </c:pt>
                <c:pt idx="3">
                  <c:v>44</c:v>
                </c:pt>
              </c:numCache>
            </c:numRef>
          </c:val>
          <c:extLst>
            <c:ext xmlns:c16="http://schemas.microsoft.com/office/drawing/2014/chart" uri="{C3380CC4-5D6E-409C-BE32-E72D297353CC}">
              <c16:uniqueId val="{0000000C-009B-4620-9AAB-97C67D9742EC}"/>
            </c:ext>
          </c:extLst>
        </c:ser>
        <c:ser>
          <c:idx val="1"/>
          <c:order val="1"/>
          <c:cat>
            <c:strRef>
              <c:f>'Summary Tables'!$E$272:$H$272</c:f>
              <c:strCache>
                <c:ptCount val="4"/>
                <c:pt idx="0">
                  <c:v>1 bed</c:v>
                </c:pt>
                <c:pt idx="1">
                  <c:v>2 bed</c:v>
                </c:pt>
                <c:pt idx="2">
                  <c:v>3 bed</c:v>
                </c:pt>
                <c:pt idx="3">
                  <c:v>4 + bed</c:v>
                </c:pt>
              </c:strCache>
            </c:strRef>
          </c:cat>
          <c:val>
            <c:numRef>
              <c:f>'Summary Tables'!$E$274:$H$274</c:f>
              <c:numCache>
                <c:formatCode>0%</c:formatCode>
                <c:ptCount val="4"/>
                <c:pt idx="0">
                  <c:v>0.22294372294372294</c:v>
                </c:pt>
                <c:pt idx="1">
                  <c:v>0.45021645021645024</c:v>
                </c:pt>
                <c:pt idx="2">
                  <c:v>0.12337662337662338</c:v>
                </c:pt>
                <c:pt idx="3">
                  <c:v>9.5238095238095233E-2</c:v>
                </c:pt>
              </c:numCache>
            </c:numRef>
          </c:val>
          <c:extLst>
            <c:ext xmlns:c16="http://schemas.microsoft.com/office/drawing/2014/chart" uri="{C3380CC4-5D6E-409C-BE32-E72D297353CC}">
              <c16:uniqueId val="{0000000C-39BC-4A76-87B7-2716B71F093C}"/>
            </c:ext>
          </c:extLst>
        </c:ser>
        <c:ser>
          <c:idx val="2"/>
          <c:order val="2"/>
          <c:cat>
            <c:strRef>
              <c:f>'Summary Tables'!$E$272:$H$272</c:f>
              <c:strCache>
                <c:ptCount val="4"/>
                <c:pt idx="0">
                  <c:v>1 bed</c:v>
                </c:pt>
                <c:pt idx="1">
                  <c:v>2 bed</c:v>
                </c:pt>
                <c:pt idx="2">
                  <c:v>3 bed</c:v>
                </c:pt>
                <c:pt idx="3">
                  <c:v>4 + bed</c:v>
                </c:pt>
              </c:strCache>
            </c:strRef>
          </c:cat>
          <c:val>
            <c:numRef>
              <c:f>'Summary Tables'!$E$275:$H$275</c:f>
              <c:numCache>
                <c:formatCode>#,##0</c:formatCode>
                <c:ptCount val="4"/>
                <c:pt idx="0">
                  <c:v>20</c:v>
                </c:pt>
                <c:pt idx="1">
                  <c:v>12</c:v>
                </c:pt>
                <c:pt idx="2">
                  <c:v>0</c:v>
                </c:pt>
                <c:pt idx="3">
                  <c:v>0</c:v>
                </c:pt>
              </c:numCache>
            </c:numRef>
          </c:val>
          <c:extLst>
            <c:ext xmlns:c16="http://schemas.microsoft.com/office/drawing/2014/chart" uri="{C3380CC4-5D6E-409C-BE32-E72D297353CC}">
              <c16:uniqueId val="{0000000D-39BC-4A76-87B7-2716B71F093C}"/>
            </c:ext>
          </c:extLst>
        </c:ser>
        <c:ser>
          <c:idx val="3"/>
          <c:order val="3"/>
          <c:cat>
            <c:strRef>
              <c:f>'Summary Tables'!$E$272:$H$272</c:f>
              <c:strCache>
                <c:ptCount val="4"/>
                <c:pt idx="0">
                  <c:v>1 bed</c:v>
                </c:pt>
                <c:pt idx="1">
                  <c:v>2 bed</c:v>
                </c:pt>
                <c:pt idx="2">
                  <c:v>3 bed</c:v>
                </c:pt>
                <c:pt idx="3">
                  <c:v>4 + bed</c:v>
                </c:pt>
              </c:strCache>
            </c:strRef>
          </c:cat>
          <c:val>
            <c:numRef>
              <c:f>'Summary Tables'!$E$276:$H$276</c:f>
              <c:numCache>
                <c:formatCode>0%</c:formatCode>
                <c:ptCount val="4"/>
                <c:pt idx="0">
                  <c:v>4.3290043290043288E-2</c:v>
                </c:pt>
                <c:pt idx="1">
                  <c:v>2.5974025974025976E-2</c:v>
                </c:pt>
                <c:pt idx="2">
                  <c:v>0</c:v>
                </c:pt>
                <c:pt idx="3">
                  <c:v>0</c:v>
                </c:pt>
              </c:numCache>
            </c:numRef>
          </c:val>
          <c:extLst>
            <c:ext xmlns:c16="http://schemas.microsoft.com/office/drawing/2014/chart" uri="{C3380CC4-5D6E-409C-BE32-E72D297353CC}">
              <c16:uniqueId val="{0000000E-39BC-4A76-87B7-2716B71F093C}"/>
            </c:ext>
          </c:extLst>
        </c:ser>
        <c:ser>
          <c:idx val="4"/>
          <c:order val="4"/>
          <c:cat>
            <c:strRef>
              <c:f>'Summary Tables'!$E$272:$H$272</c:f>
              <c:strCache>
                <c:ptCount val="4"/>
                <c:pt idx="0">
                  <c:v>1 bed</c:v>
                </c:pt>
                <c:pt idx="1">
                  <c:v>2 bed</c:v>
                </c:pt>
                <c:pt idx="2">
                  <c:v>3 bed</c:v>
                </c:pt>
                <c:pt idx="3">
                  <c:v>4 + bed</c:v>
                </c:pt>
              </c:strCache>
            </c:strRef>
          </c:cat>
          <c:val>
            <c:numRef>
              <c:f>'Summary Tables'!$E$277:$H$277</c:f>
              <c:numCache>
                <c:formatCode>#,##0</c:formatCode>
                <c:ptCount val="4"/>
                <c:pt idx="0">
                  <c:v>22</c:v>
                </c:pt>
                <c:pt idx="1">
                  <c:v>13</c:v>
                </c:pt>
                <c:pt idx="2">
                  <c:v>10</c:v>
                </c:pt>
                <c:pt idx="3">
                  <c:v>3</c:v>
                </c:pt>
              </c:numCache>
            </c:numRef>
          </c:val>
          <c:extLst>
            <c:ext xmlns:c16="http://schemas.microsoft.com/office/drawing/2014/chart" uri="{C3380CC4-5D6E-409C-BE32-E72D297353CC}">
              <c16:uniqueId val="{0000000F-39BC-4A76-87B7-2716B71F093C}"/>
            </c:ext>
          </c:extLst>
        </c:ser>
        <c:ser>
          <c:idx val="5"/>
          <c:order val="5"/>
          <c:cat>
            <c:strRef>
              <c:f>'Summary Tables'!$E$272:$H$272</c:f>
              <c:strCache>
                <c:ptCount val="4"/>
                <c:pt idx="0">
                  <c:v>1 bed</c:v>
                </c:pt>
                <c:pt idx="1">
                  <c:v>2 bed</c:v>
                </c:pt>
                <c:pt idx="2">
                  <c:v>3 bed</c:v>
                </c:pt>
                <c:pt idx="3">
                  <c:v>4 + bed</c:v>
                </c:pt>
              </c:strCache>
            </c:strRef>
          </c:cat>
          <c:val>
            <c:numRef>
              <c:f>'Summary Tables'!$E$278:$H$278</c:f>
              <c:numCache>
                <c:formatCode>0%</c:formatCode>
                <c:ptCount val="4"/>
                <c:pt idx="0">
                  <c:v>4.7619047619047616E-2</c:v>
                </c:pt>
                <c:pt idx="1">
                  <c:v>2.813852813852814E-2</c:v>
                </c:pt>
                <c:pt idx="2">
                  <c:v>2.1645021645021644E-2</c:v>
                </c:pt>
                <c:pt idx="3">
                  <c:v>6.4935064935064939E-3</c:v>
                </c:pt>
              </c:numCache>
            </c:numRef>
          </c:val>
          <c:extLst>
            <c:ext xmlns:c16="http://schemas.microsoft.com/office/drawing/2014/chart" uri="{C3380CC4-5D6E-409C-BE32-E72D297353CC}">
              <c16:uniqueId val="{00000010-39BC-4A76-87B7-2716B71F093C}"/>
            </c:ext>
          </c:extLst>
        </c:ser>
        <c:ser>
          <c:idx val="6"/>
          <c:order val="6"/>
          <c:cat>
            <c:strRef>
              <c:f>'Summary Tables'!$E$272:$H$272</c:f>
              <c:strCache>
                <c:ptCount val="4"/>
                <c:pt idx="0">
                  <c:v>1 bed</c:v>
                </c:pt>
                <c:pt idx="1">
                  <c:v>2 bed</c:v>
                </c:pt>
                <c:pt idx="2">
                  <c:v>3 bed</c:v>
                </c:pt>
                <c:pt idx="3">
                  <c:v>4 + bed</c:v>
                </c:pt>
              </c:strCache>
            </c:strRef>
          </c:cat>
          <c:val>
            <c:numRef>
              <c:f>'Summary Tables'!$E$279:$H$279</c:f>
              <c:numCache>
                <c:formatCode>#,##0</c:formatCode>
                <c:ptCount val="4"/>
                <c:pt idx="0">
                  <c:v>-29</c:v>
                </c:pt>
                <c:pt idx="1">
                  <c:v>-1</c:v>
                </c:pt>
                <c:pt idx="2">
                  <c:v>0</c:v>
                </c:pt>
                <c:pt idx="3">
                  <c:v>0</c:v>
                </c:pt>
              </c:numCache>
            </c:numRef>
          </c:val>
          <c:extLst>
            <c:ext xmlns:c16="http://schemas.microsoft.com/office/drawing/2014/chart" uri="{C3380CC4-5D6E-409C-BE32-E72D297353CC}">
              <c16:uniqueId val="{00000011-39BC-4A76-87B7-2716B71F093C}"/>
            </c:ext>
          </c:extLst>
        </c:ser>
        <c:ser>
          <c:idx val="7"/>
          <c:order val="7"/>
          <c:cat>
            <c:strRef>
              <c:f>'Summary Tables'!$E$272:$H$272</c:f>
              <c:strCache>
                <c:ptCount val="4"/>
                <c:pt idx="0">
                  <c:v>1 bed</c:v>
                </c:pt>
                <c:pt idx="1">
                  <c:v>2 bed</c:v>
                </c:pt>
                <c:pt idx="2">
                  <c:v>3 bed</c:v>
                </c:pt>
                <c:pt idx="3">
                  <c:v>4 + bed</c:v>
                </c:pt>
              </c:strCache>
            </c:strRef>
          </c:cat>
          <c:val>
            <c:numRef>
              <c:f>'Summary Tables'!$E$280:$H$280</c:f>
              <c:numCache>
                <c:formatCode>0%</c:formatCode>
                <c:ptCount val="4"/>
                <c:pt idx="0">
                  <c:v>-6.2770562770562768E-2</c:v>
                </c:pt>
                <c:pt idx="1">
                  <c:v>-2.1645021645021645E-3</c:v>
                </c:pt>
                <c:pt idx="2">
                  <c:v>0</c:v>
                </c:pt>
                <c:pt idx="3">
                  <c:v>0</c:v>
                </c:pt>
              </c:numCache>
            </c:numRef>
          </c:val>
          <c:extLst>
            <c:ext xmlns:c16="http://schemas.microsoft.com/office/drawing/2014/chart" uri="{C3380CC4-5D6E-409C-BE32-E72D297353CC}">
              <c16:uniqueId val="{00000012-39BC-4A76-87B7-2716B71F093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939714141949878"/>
          <c:y val="0.12337730510958858"/>
          <c:w val="0.23543615452958339"/>
          <c:h val="0.4524688669235494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12700">
      <a:solidFill>
        <a:srgbClr val="969696"/>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image" Target="../media/image1.png"/><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381001</xdr:colOff>
      <xdr:row>57</xdr:row>
      <xdr:rowOff>0</xdr:rowOff>
    </xdr:from>
    <xdr:to>
      <xdr:col>18</xdr:col>
      <xdr:colOff>457201</xdr:colOff>
      <xdr:row>70</xdr:row>
      <xdr:rowOff>0</xdr:rowOff>
    </xdr:to>
    <xdr:graphicFrame macro="">
      <xdr:nvGraphicFramePr>
        <xdr:cNvPr id="2" name="Chart 1">
          <a:extLst>
            <a:ext uri="{FF2B5EF4-FFF2-40B4-BE49-F238E27FC236}">
              <a16:creationId xmlns:a16="http://schemas.microsoft.com/office/drawing/2014/main" id="{5FF31A11-D904-43EF-9062-E7B675711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74</xdr:row>
      <xdr:rowOff>1</xdr:rowOff>
    </xdr:from>
    <xdr:to>
      <xdr:col>18</xdr:col>
      <xdr:colOff>0</xdr:colOff>
      <xdr:row>94</xdr:row>
      <xdr:rowOff>2</xdr:rowOff>
    </xdr:to>
    <xdr:graphicFrame macro="">
      <xdr:nvGraphicFramePr>
        <xdr:cNvPr id="3" name="Chart 12">
          <a:extLst>
            <a:ext uri="{FF2B5EF4-FFF2-40B4-BE49-F238E27FC236}">
              <a16:creationId xmlns:a16="http://schemas.microsoft.com/office/drawing/2014/main" id="{95CF0282-21BD-4565-9E6A-03CD361EA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119</xdr:row>
      <xdr:rowOff>149088</xdr:rowOff>
    </xdr:from>
    <xdr:to>
      <xdr:col>16</xdr:col>
      <xdr:colOff>228600</xdr:colOff>
      <xdr:row>136</xdr:row>
      <xdr:rowOff>76201</xdr:rowOff>
    </xdr:to>
    <xdr:graphicFrame macro="">
      <xdr:nvGraphicFramePr>
        <xdr:cNvPr id="9" name="Chart 62">
          <a:extLst>
            <a:ext uri="{FF2B5EF4-FFF2-40B4-BE49-F238E27FC236}">
              <a16:creationId xmlns:a16="http://schemas.microsoft.com/office/drawing/2014/main" id="{D9F42CE7-4A6F-4B76-9B7F-2728DCD74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82826</xdr:colOff>
      <xdr:row>101</xdr:row>
      <xdr:rowOff>74544</xdr:rowOff>
    </xdr:from>
    <xdr:to>
      <xdr:col>16</xdr:col>
      <xdr:colOff>248478</xdr:colOff>
      <xdr:row>118</xdr:row>
      <xdr:rowOff>47625</xdr:rowOff>
    </xdr:to>
    <xdr:graphicFrame macro="">
      <xdr:nvGraphicFramePr>
        <xdr:cNvPr id="12" name="Chart 11">
          <a:extLst>
            <a:ext uri="{FF2B5EF4-FFF2-40B4-BE49-F238E27FC236}">
              <a16:creationId xmlns:a16="http://schemas.microsoft.com/office/drawing/2014/main" id="{D2DA4380-0A09-45B7-B4CB-C0CE1C7DB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118109</xdr:colOff>
      <xdr:row>1</xdr:row>
      <xdr:rowOff>265845</xdr:rowOff>
    </xdr:from>
    <xdr:to>
      <xdr:col>4</xdr:col>
      <xdr:colOff>0</xdr:colOff>
      <xdr:row>2</xdr:row>
      <xdr:rowOff>0</xdr:rowOff>
    </xdr:to>
    <xdr:pic>
      <xdr:nvPicPr>
        <xdr:cNvPr id="13" name="Picture 12">
          <a:extLst>
            <a:ext uri="{FF2B5EF4-FFF2-40B4-BE49-F238E27FC236}">
              <a16:creationId xmlns:a16="http://schemas.microsoft.com/office/drawing/2014/main" id="{D977CAC2-F344-4013-A3FD-412E1F6CC2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7709" y="561120"/>
          <a:ext cx="1786891" cy="362805"/>
        </a:xfrm>
        <a:prstGeom prst="rect">
          <a:avLst/>
        </a:prstGeom>
      </xdr:spPr>
    </xdr:pic>
    <xdr:clientData/>
  </xdr:twoCellAnchor>
  <xdr:twoCellAnchor>
    <xdr:from>
      <xdr:col>10</xdr:col>
      <xdr:colOff>314325</xdr:colOff>
      <xdr:row>139</xdr:row>
      <xdr:rowOff>161924</xdr:rowOff>
    </xdr:from>
    <xdr:to>
      <xdr:col>18</xdr:col>
      <xdr:colOff>440531</xdr:colOff>
      <xdr:row>152</xdr:row>
      <xdr:rowOff>161924</xdr:rowOff>
    </xdr:to>
    <xdr:graphicFrame macro="">
      <xdr:nvGraphicFramePr>
        <xdr:cNvPr id="8" name="Chart 26">
          <a:extLst>
            <a:ext uri="{FF2B5EF4-FFF2-40B4-BE49-F238E27FC236}">
              <a16:creationId xmlns:a16="http://schemas.microsoft.com/office/drawing/2014/main" id="{66781684-D902-4055-BE0A-6F73F5D9B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308113</xdr:colOff>
      <xdr:row>167</xdr:row>
      <xdr:rowOff>0</xdr:rowOff>
    </xdr:from>
    <xdr:to>
      <xdr:col>18</xdr:col>
      <xdr:colOff>495300</xdr:colOff>
      <xdr:row>185</xdr:row>
      <xdr:rowOff>0</xdr:rowOff>
    </xdr:to>
    <xdr:graphicFrame macro="">
      <xdr:nvGraphicFramePr>
        <xdr:cNvPr id="10" name="Chart 9">
          <a:extLst>
            <a:ext uri="{FF2B5EF4-FFF2-40B4-BE49-F238E27FC236}">
              <a16:creationId xmlns:a16="http://schemas.microsoft.com/office/drawing/2014/main" id="{210AD57C-511D-4B05-8FC5-759D95CE5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xdr:colOff>
      <xdr:row>231</xdr:row>
      <xdr:rowOff>0</xdr:rowOff>
    </xdr:from>
    <xdr:to>
      <xdr:col>18</xdr:col>
      <xdr:colOff>1</xdr:colOff>
      <xdr:row>251</xdr:row>
      <xdr:rowOff>0</xdr:rowOff>
    </xdr:to>
    <xdr:graphicFrame macro="">
      <xdr:nvGraphicFramePr>
        <xdr:cNvPr id="11" name="Chart 55">
          <a:extLst>
            <a:ext uri="{FF2B5EF4-FFF2-40B4-BE49-F238E27FC236}">
              <a16:creationId xmlns:a16="http://schemas.microsoft.com/office/drawing/2014/main" id="{AB8C436E-3411-4644-8F67-2BA9FDCC9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1</xdr:colOff>
      <xdr:row>259</xdr:row>
      <xdr:rowOff>1</xdr:rowOff>
    </xdr:from>
    <xdr:to>
      <xdr:col>16</xdr:col>
      <xdr:colOff>1</xdr:colOff>
      <xdr:row>268</xdr:row>
      <xdr:rowOff>0</xdr:rowOff>
    </xdr:to>
    <xdr:graphicFrame macro="">
      <xdr:nvGraphicFramePr>
        <xdr:cNvPr id="14" name="Chart 56">
          <a:extLst>
            <a:ext uri="{FF2B5EF4-FFF2-40B4-BE49-F238E27FC236}">
              <a16:creationId xmlns:a16="http://schemas.microsoft.com/office/drawing/2014/main" id="{F50008EE-24DB-472A-8C17-AE621BC6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271</xdr:row>
      <xdr:rowOff>0</xdr:rowOff>
    </xdr:from>
    <xdr:to>
      <xdr:col>16</xdr:col>
      <xdr:colOff>0</xdr:colOff>
      <xdr:row>281</xdr:row>
      <xdr:rowOff>0</xdr:rowOff>
    </xdr:to>
    <xdr:graphicFrame macro="">
      <xdr:nvGraphicFramePr>
        <xdr:cNvPr id="15" name="Chart 57">
          <a:extLst>
            <a:ext uri="{FF2B5EF4-FFF2-40B4-BE49-F238E27FC236}">
              <a16:creationId xmlns:a16="http://schemas.microsoft.com/office/drawing/2014/main" id="{EDD36BA0-AAA1-4A4F-8C71-970B4B882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xdr:colOff>
      <xdr:row>205</xdr:row>
      <xdr:rowOff>0</xdr:rowOff>
    </xdr:from>
    <xdr:to>
      <xdr:col>18</xdr:col>
      <xdr:colOff>0</xdr:colOff>
      <xdr:row>224</xdr:row>
      <xdr:rowOff>161924</xdr:rowOff>
    </xdr:to>
    <xdr:graphicFrame macro="">
      <xdr:nvGraphicFramePr>
        <xdr:cNvPr id="16" name="Chart 55">
          <a:extLst>
            <a:ext uri="{FF2B5EF4-FFF2-40B4-BE49-F238E27FC236}">
              <a16:creationId xmlns:a16="http://schemas.microsoft.com/office/drawing/2014/main" id="{D8C97D50-F888-45E6-97D4-A5EC14C6A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286</xdr:row>
      <xdr:rowOff>0</xdr:rowOff>
    </xdr:from>
    <xdr:to>
      <xdr:col>16</xdr:col>
      <xdr:colOff>0</xdr:colOff>
      <xdr:row>296</xdr:row>
      <xdr:rowOff>0</xdr:rowOff>
    </xdr:to>
    <xdr:graphicFrame macro="">
      <xdr:nvGraphicFramePr>
        <xdr:cNvPr id="17" name="Chart 57">
          <a:extLst>
            <a:ext uri="{FF2B5EF4-FFF2-40B4-BE49-F238E27FC236}">
              <a16:creationId xmlns:a16="http://schemas.microsoft.com/office/drawing/2014/main" id="{A1809785-BC25-4158-B7F8-266B1DBF38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100855</xdr:rowOff>
    </xdr:from>
    <xdr:to>
      <xdr:col>23</xdr:col>
      <xdr:colOff>435736</xdr:colOff>
      <xdr:row>46</xdr:row>
      <xdr:rowOff>100854</xdr:rowOff>
    </xdr:to>
    <xdr:graphicFrame macro="">
      <xdr:nvGraphicFramePr>
        <xdr:cNvPr id="2" name="Chart 1">
          <a:extLst>
            <a:ext uri="{FF2B5EF4-FFF2-40B4-BE49-F238E27FC236}">
              <a16:creationId xmlns:a16="http://schemas.microsoft.com/office/drawing/2014/main" id="{4C5A18E6-8A20-40C8-8CCF-D5463AF21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56030</xdr:colOff>
      <xdr:row>1</xdr:row>
      <xdr:rowOff>233827</xdr:rowOff>
    </xdr:from>
    <xdr:ext cx="1800499" cy="360084"/>
    <xdr:pic>
      <xdr:nvPicPr>
        <xdr:cNvPr id="6" name="Picture 5">
          <a:extLst>
            <a:ext uri="{FF2B5EF4-FFF2-40B4-BE49-F238E27FC236}">
              <a16:creationId xmlns:a16="http://schemas.microsoft.com/office/drawing/2014/main" id="{0018FF42-94B8-4A82-BB1F-9C5918623B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3354" y="390709"/>
          <a:ext cx="1800499" cy="36008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richmond.gov.uk/Users/cwilliams3/AppData/Local/Microsoft/Windows/Temporary%20Internet%20Files/Content.Outlook/WFTL1OK6/Traj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Scenario 1"/>
      <sheetName val="Scenario 1 Trajectory"/>
      <sheetName val="Scenario 2"/>
      <sheetName val="Scenario 2 Trajectory"/>
      <sheetName val="Assumptions and Abbreviations"/>
      <sheetName val="Pivots"/>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3819442" missingItemsLimit="0" createdVersion="6" refreshedVersion="6" minRefreshableVersion="3" recordCount="316" xr:uid="{14020791-165C-49C9-AFA4-0F4025D75FF1}">
  <cacheSource type="worksheet">
    <worksheetSource ref="A1:BE317" sheet="Data"/>
  </cacheSource>
  <cacheFields count="57">
    <cacheField name="Planning Ref" numFmtId="0">
      <sharedItems/>
    </cacheField>
    <cacheField name="Development Category" numFmtId="0">
      <sharedItems count="5">
        <s v="NEW"/>
        <s v="CHU"/>
        <s v="CON"/>
        <s v="MIX"/>
        <s v="EXT"/>
      </sharedItems>
    </cacheField>
    <cacheField name="Application Type" numFmtId="0">
      <sharedItems containsBlank="1" count="2">
        <m/>
        <s v="PA"/>
      </sharedItems>
    </cacheField>
    <cacheField name="Decision Date" numFmtId="14">
      <sharedItems containsNonDate="0" containsDate="1" containsString="0" containsBlank="1" minDate="2000-02-03T00:00:00" maxDate="2020-03-27T00:00:00"/>
    </cacheField>
    <cacheField name="Expiry Date" numFmtId="14">
      <sharedItems containsNonDate="0" containsDate="1" containsString="0" containsBlank="1" minDate="2005-02-03T00:00:00" maxDate="2023-03-21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4">
        <s v="01. Completion"/>
        <s v="02. Under Construction"/>
        <s v="03. Not Started"/>
        <s v="04. Site Allocation"/>
      </sharedItems>
    </cacheField>
    <cacheField name="Tenure" numFmtId="0">
      <sharedItems/>
    </cacheField>
    <cacheField name="5YHLS" numFmtId="0">
      <sharedItems containsBlank="1" count="2">
        <m/>
        <s v="N"/>
      </sharedItems>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146"/>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48.666666666666664"/>
    </cacheField>
    <cacheField name="2023/24 (4)" numFmtId="0">
      <sharedItems containsSemiMixedTypes="0" containsString="0" containsNumber="1" minValue="-0.25" maxValue="48.666666666666664"/>
    </cacheField>
    <cacheField name="2024/25 (5)" numFmtId="0">
      <sharedItems containsSemiMixedTypes="0" containsString="0" containsNumber="1" minValue="-0.25" maxValue="48.666666666666664"/>
    </cacheField>
    <cacheField name="2025/26 (6)" numFmtId="0">
      <sharedItems containsString="0" containsBlank="1" containsNumber="1" minValue="7.6" maxValue="50"/>
    </cacheField>
    <cacheField name="2026/27 (7)" numFmtId="0">
      <sharedItems containsString="0" containsBlank="1" containsNumber="1" minValue="7.6" maxValue="50"/>
    </cacheField>
    <cacheField name="2027/28 (8)" numFmtId="0">
      <sharedItems containsString="0" containsBlank="1" containsNumber="1" minValue="7.6" maxValue="50"/>
    </cacheField>
    <cacheField name="2028/29 (9)" numFmtId="0">
      <sharedItems containsString="0" containsBlank="1" containsNumber="1" minValue="7.6" maxValue="50"/>
    </cacheField>
    <cacheField name="2029/30 (10)" numFmtId="0">
      <sharedItems containsString="0" containsBlank="1" containsNumber="1" minValue="7.6" maxValue="50"/>
    </cacheField>
    <cacheField name="2020-2030 Total" numFmtId="1">
      <sharedItems containsSemiMixedTypes="0" containsString="0" containsNumber="1" containsInteger="1" minValue="-30" maxValue="250"/>
    </cacheField>
    <cacheField name="Easting" numFmtId="0">
      <sharedItems containsSemiMixedTypes="0" containsString="0" containsNumber="1" containsInteger="1" minValue="512318" maxValue="522622"/>
    </cacheField>
    <cacheField name="Northing" numFmtId="0">
      <sharedItems containsSemiMixedTypes="0" containsString="0" containsNumber="1" containsInteger="1" minValue="168830" maxValue="177884"/>
    </cacheField>
    <cacheField name="Ward"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439815" createdVersion="6" refreshedVersion="6" minRefreshableVersion="3" recordCount="317" xr:uid="{97011488-EAEC-42BA-8D78-74870A80C70A}">
  <cacheSource type="worksheet">
    <worksheetSource ref="A1:BE318" sheet="Data"/>
  </cacheSource>
  <cacheFields count="57">
    <cacheField name="Planning Ref" numFmtId="0">
      <sharedItems/>
    </cacheField>
    <cacheField name="Development Category" numFmtId="0">
      <sharedItems containsBlank="1" count="6">
        <s v="NEW"/>
        <s v="CHU"/>
        <s v="CON"/>
        <s v="MIX"/>
        <s v="EXT"/>
        <m u="1"/>
      </sharedItems>
    </cacheField>
    <cacheField name="Application Type" numFmtId="0">
      <sharedItems containsBlank="1" count="2">
        <m/>
        <s v="PA"/>
      </sharedItems>
    </cacheField>
    <cacheField name="Decision Date" numFmtId="14">
      <sharedItems containsNonDate="0" containsDate="1" containsString="0" containsBlank="1" minDate="2000-02-03T00:00:00" maxDate="2020-03-27T00:00:00"/>
    </cacheField>
    <cacheField name="Expiry Date" numFmtId="14">
      <sharedItems containsNonDate="0" containsDate="1" containsString="0" containsBlank="1" minDate="2005-02-03T00:00:00" maxDate="2023-03-21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7">
        <s v="01. Completion"/>
        <s v="02. Under Construction"/>
        <s v="03. Not Started"/>
        <s v="04. Site Allocation"/>
        <s v="05. Deliverable Sites" u="1"/>
        <s v="?" u="1"/>
        <s v="07. Small Sites Trend" u="1"/>
      </sharedItems>
    </cacheField>
    <cacheField name="Tenure" numFmtId="0">
      <sharedItems containsBlank="1" count="8">
        <s v="Open Market"/>
        <s v="Affordable Rent"/>
        <s v="Intermediate"/>
        <s v="Social Rent"/>
        <s v="Open Market / Affordable"/>
        <m u="1"/>
        <s v="Affordable" u="1"/>
        <s v="Other" u="1"/>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146"/>
    </cacheField>
    <cacheField name="Large Site Completion" numFmtId="0">
      <sharedItems containsBlank="1" count="2">
        <m/>
        <s v="Y"/>
      </sharedItems>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48.666666666666664"/>
    </cacheField>
    <cacheField name="2023/24 (4)" numFmtId="0">
      <sharedItems containsSemiMixedTypes="0" containsString="0" containsNumber="1" minValue="-0.25" maxValue="48.666666666666664"/>
    </cacheField>
    <cacheField name="2024/25 (5)" numFmtId="0">
      <sharedItems containsSemiMixedTypes="0" containsString="0" containsNumber="1" minValue="-0.25" maxValue="48.666666666666664"/>
    </cacheField>
    <cacheField name="2025/26 (6)" numFmtId="0">
      <sharedItems containsString="0" containsBlank="1" containsNumber="1" minValue="7.6" maxValue="50"/>
    </cacheField>
    <cacheField name="2026/27 (7)" numFmtId="0">
      <sharedItems containsString="0" containsBlank="1" containsNumber="1" minValue="7.6" maxValue="50"/>
    </cacheField>
    <cacheField name="2027/28 (8)" numFmtId="0">
      <sharedItems containsString="0" containsBlank="1" containsNumber="1" minValue="7.6" maxValue="50"/>
    </cacheField>
    <cacheField name="2028/29 (9)" numFmtId="0">
      <sharedItems containsString="0" containsBlank="1" containsNumber="1" minValue="7.6" maxValue="50"/>
    </cacheField>
    <cacheField name="2029/30 (10)" numFmtId="0">
      <sharedItems containsString="0" containsBlank="1" containsNumber="1" minValue="7.6" maxValue="50"/>
    </cacheField>
    <cacheField name="2020-2030 Total" numFmtId="1">
      <sharedItems containsSemiMixedTypes="0" containsString="0" containsNumber="1" containsInteger="1" minValue="-30" maxValue="250"/>
    </cacheField>
    <cacheField name="Easting" numFmtId="0">
      <sharedItems containsSemiMixedTypes="0" containsString="0" containsNumber="1" containsInteger="1" minValue="512318" maxValue="522622"/>
    </cacheField>
    <cacheField name="Northing" numFmtId="0">
      <sharedItems containsSemiMixedTypes="0" containsString="0" containsNumber="1" containsInteger="1" minValue="168830" maxValue="177884"/>
    </cacheField>
    <cacheField name="Ward"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5439812" createdVersion="6" refreshedVersion="6" minRefreshableVersion="3" recordCount="315" xr:uid="{89273BA4-2FFF-4BC9-8EA0-46F07943568B}">
  <cacheSource type="worksheet">
    <worksheetSource ref="A1:BE316" sheet="Data"/>
  </cacheSource>
  <cacheFields count="57">
    <cacheField name="Planning Ref" numFmtId="0">
      <sharedItems/>
    </cacheField>
    <cacheField name="Development Category" numFmtId="0">
      <sharedItems count="5">
        <s v="NEW"/>
        <s v="CHU"/>
        <s v="CON"/>
        <s v="MIX"/>
        <s v="EXT"/>
      </sharedItems>
    </cacheField>
    <cacheField name="Application Type" numFmtId="0">
      <sharedItems containsBlank="1"/>
    </cacheField>
    <cacheField name="Decision Date" numFmtId="14">
      <sharedItems containsSemiMixedTypes="0" containsNonDate="0" containsDate="1" containsString="0" minDate="2000-02-03T00:00:00" maxDate="2020-03-27T00:00:00"/>
    </cacheField>
    <cacheField name="Expiry Date" numFmtId="14">
      <sharedItems containsSemiMixedTypes="0" containsNonDate="0" containsDate="1" containsString="0" minDate="2005-02-03T00:00:00" maxDate="2023-03-21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3">
        <s v="01. Completion"/>
        <s v="02. Under Construction"/>
        <s v="03. Not Started"/>
      </sharedItems>
    </cacheField>
    <cacheField name="Tenure" numFmtId="0">
      <sharedItems/>
    </cacheField>
    <cacheField name="5YHLS" numFmtId="0">
      <sharedItems containsBlank="1"/>
    </cacheField>
    <cacheField name="PROPOSAL" numFmtId="0">
      <sharedItems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emiMixedTypes="0" containsString="0"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emiMixedTypes="0" containsString="0" containsNumber="1" containsInteger="1" minValue="0" maxValue="146"/>
    </cacheField>
    <cacheField name="1 bed net" numFmtId="0">
      <sharedItems containsSemiMixedTypes="0" containsString="0" containsNumber="1" containsInteger="1" minValue="-29" maxValue="38"/>
    </cacheField>
    <cacheField name="2 bed net" numFmtId="0">
      <sharedItems containsSemiMixedTypes="0" containsString="0" containsNumber="1" containsInteger="1" minValue="-3" maxValue="76"/>
    </cacheField>
    <cacheField name="3 bed net" numFmtId="0">
      <sharedItems containsSemiMixedTypes="0" containsString="0" containsNumber="1" containsInteger="1" minValue="-2" maxValue="31"/>
    </cacheField>
    <cacheField name="4 bed net" numFmtId="0">
      <sharedItems containsSemiMixedTypes="0" containsString="0" containsNumber="1" containsInteger="1" minValue="-1" maxValue="18"/>
    </cacheField>
    <cacheField name="5 bed net" numFmtId="0">
      <sharedItems containsSemiMixedTypes="0" containsString="0" containsNumber="1" containsInteger="1" minValue="-1" maxValue="3"/>
    </cacheField>
    <cacheField name="6 bed net" numFmtId="0">
      <sharedItems containsSemiMixedTypes="0" containsString="0" containsNumber="1" containsInteger="1" minValue="-1" maxValue="5"/>
    </cacheField>
    <cacheField name="7 bed net" numFmtId="0">
      <sharedItems containsSemiMixedTypes="0" containsString="0" containsNumber="1" containsInteger="1" minValue="-1" maxValue="1"/>
    </cacheField>
    <cacheField name="9 bed net" numFmtId="0">
      <sharedItems containsSemiMixedTypes="0" containsString="0" containsNumber="1" containsInteger="1" minValue="-1" maxValue="0"/>
    </cacheField>
    <cacheField name="Net Dwellings" numFmtId="0">
      <sharedItems containsSemiMixedTypes="0" containsString="0" containsNumber="1" containsInteger="1" minValue="-30" maxValue="146"/>
    </cacheField>
    <cacheField name="Large Site Completion" numFmtId="164">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48.666666666666664"/>
    </cacheField>
    <cacheField name="2023/24 (4)" numFmtId="0">
      <sharedItems containsSemiMixedTypes="0" containsString="0" containsNumber="1" minValue="-0.25" maxValue="48.666666666666664"/>
    </cacheField>
    <cacheField name="2024/25 (5)" numFmtId="0">
      <sharedItems containsSemiMixedTypes="0" containsString="0" containsNumber="1" minValue="-0.25" maxValue="48.666666666666664"/>
    </cacheField>
    <cacheField name="2025/26 (6)" numFmtId="0">
      <sharedItems containsString="0" containsBlank="1" containsNumber="1" minValue="7.6" maxValue="7.6"/>
    </cacheField>
    <cacheField name="2026/27 (7)" numFmtId="0">
      <sharedItems containsString="0" containsBlank="1" containsNumber="1" minValue="7.6" maxValue="7.6"/>
    </cacheField>
    <cacheField name="2027/28 (8)" numFmtId="0">
      <sharedItems containsString="0" containsBlank="1" containsNumber="1" minValue="7.6" maxValue="7.6"/>
    </cacheField>
    <cacheField name="2028/29 (9)" numFmtId="0">
      <sharedItems containsString="0" containsBlank="1" containsNumber="1" minValue="7.6" maxValue="7.6"/>
    </cacheField>
    <cacheField name="2029/30 (10)" numFmtId="0">
      <sharedItems containsString="0" containsBlank="1" containsNumber="1" minValue="7.6" maxValue="7.6"/>
    </cacheField>
    <cacheField name="2020-2030 Total" numFmtId="1">
      <sharedItems containsSemiMixedTypes="0" containsString="0" containsNumber="1" containsInteger="1" minValue="-30" maxValue="146"/>
    </cacheField>
    <cacheField name="Easting" numFmtId="0">
      <sharedItems containsSemiMixedTypes="0" containsString="0" containsNumber="1" containsInteger="1" minValue="512318" maxValue="522622"/>
    </cacheField>
    <cacheField name="Northing" numFmtId="0">
      <sharedItems containsSemiMixedTypes="0" containsString="0" containsNumber="1" containsInteger="1" minValue="168830" maxValue="177884"/>
    </cacheField>
    <cacheField name="Ward"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5787035" createdVersion="6" refreshedVersion="6" minRefreshableVersion="3" recordCount="329" xr:uid="{1FD418D5-3968-4F27-8612-BF50EBCDFEF1}">
  <cacheSource type="worksheet">
    <worksheetSource ref="A1:BE330" sheet="Data"/>
  </cacheSource>
  <cacheFields count="57">
    <cacheField name="Planning Ref" numFmtId="0">
      <sharedItems/>
    </cacheField>
    <cacheField name="Development Category" numFmtId="0">
      <sharedItems containsBlank="1" count="6">
        <s v="NEW"/>
        <s v="CHU"/>
        <s v="CON"/>
        <s v="MIX"/>
        <s v="EXT"/>
        <m u="1"/>
      </sharedItems>
    </cacheField>
    <cacheField name="Application Type" numFmtId="0">
      <sharedItems containsBlank="1"/>
    </cacheField>
    <cacheField name="Decision Date" numFmtId="14">
      <sharedItems containsNonDate="0" containsDate="1" containsString="0" containsBlank="1" minDate="2000-02-03T00:00:00" maxDate="2020-10-08T00:00:00"/>
    </cacheField>
    <cacheField name="Expiry Date" numFmtId="14">
      <sharedItems containsNonDate="0" containsDate="1" containsString="0" containsBlank="1" minDate="2005-02-03T00:00:00" maxDate="2023-09-15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ntainsBlank="1" count="7">
        <s v="01. Completion"/>
        <s v="02. Under Construction"/>
        <s v="03. Not Started"/>
        <s v="04. Site Allocation"/>
        <s v="05. Deliverable Sites"/>
        <m u="1"/>
        <s v="?" u="1"/>
      </sharedItems>
    </cacheField>
    <cacheField name="Tenure" numFmtId="0">
      <sharedItems containsBlank="1" count="8">
        <s v="Open Market"/>
        <s v="Affordable Rent"/>
        <s v="Intermediate"/>
        <s v="Social Rent"/>
        <s v="Open Market / Affordable"/>
        <s v="Affordable"/>
        <m u="1"/>
        <s v="Other" u="1"/>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742"/>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234"/>
    </cacheField>
    <cacheField name="2023/24 (4)" numFmtId="0">
      <sharedItems containsSemiMixedTypes="0" containsString="0" containsNumber="1" minValue="-0.25" maxValue="234"/>
    </cacheField>
    <cacheField name="2024/25 (5)" numFmtId="0">
      <sharedItems containsSemiMixedTypes="0" containsString="0" containsNumber="1" minValue="-0.25" maxValue="234"/>
    </cacheField>
    <cacheField name="2025/26 (6)" numFmtId="0">
      <sharedItems containsString="0" containsBlank="1" containsNumber="1" minValue="0" maxValue="234"/>
    </cacheField>
    <cacheField name="2026/27 (7)" numFmtId="0">
      <sharedItems containsString="0" containsBlank="1" containsNumber="1" minValue="0" maxValue="234"/>
    </cacheField>
    <cacheField name="2027/28 (8)" numFmtId="0">
      <sharedItems containsString="0" containsBlank="1" containsNumber="1" minValue="0" maxValue="234"/>
    </cacheField>
    <cacheField name="2028/29 (9)" numFmtId="0">
      <sharedItems containsString="0" containsBlank="1" containsNumber="1" minValue="0" maxValue="234"/>
    </cacheField>
    <cacheField name="2029/30 (10)" numFmtId="0">
      <sharedItems containsString="0" containsBlank="1" containsNumber="1" minValue="0" maxValue="234"/>
    </cacheField>
    <cacheField name="2020-2030 Total" numFmtId="1">
      <sharedItems containsSemiMixedTypes="0" containsString="0" containsNumber="1" containsInteger="1" minValue="-30" maxValue="1912"/>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601852" missingItemsLimit="0" createdVersion="6" refreshedVersion="6" minRefreshableVersion="3" recordCount="317" xr:uid="{C27FE3D5-304F-41C1-87B0-5720C8D44875}">
  <cacheSource type="worksheet">
    <worksheetSource ref="A1:BN318" sheet="Data"/>
  </cacheSource>
  <cacheFields count="66">
    <cacheField name="Planning Ref" numFmtId="0">
      <sharedItems/>
    </cacheField>
    <cacheField name="Development Category" numFmtId="0">
      <sharedItems/>
    </cacheField>
    <cacheField name="Application Type" numFmtId="0">
      <sharedItems containsBlank="1"/>
    </cacheField>
    <cacheField name="Decision Date" numFmtId="14">
      <sharedItems containsNonDate="0" containsDate="1" containsString="0" containsBlank="1" minDate="2000-02-03T00:00:00" maxDate="2020-03-27T00:00:00"/>
    </cacheField>
    <cacheField name="Expiry Date" numFmtId="14">
      <sharedItems containsNonDate="0" containsDate="1" containsString="0" containsBlank="1" minDate="2005-02-03T00:00:00" maxDate="2023-03-21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4">
        <s v="01. Completion"/>
        <s v="02. Under Construction"/>
        <s v="03. Not Started"/>
        <s v="04. Site Allocation"/>
      </sharedItems>
    </cacheField>
    <cacheField name="Tenure" numFmtId="0">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146"/>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48.666666666666664"/>
    </cacheField>
    <cacheField name="2023/24 (4)" numFmtId="0">
      <sharedItems containsSemiMixedTypes="0" containsString="0" containsNumber="1" minValue="-0.25" maxValue="48.666666666666664"/>
    </cacheField>
    <cacheField name="2024/25 (5)" numFmtId="0">
      <sharedItems containsSemiMixedTypes="0" containsString="0" containsNumber="1" minValue="-0.25" maxValue="48.666666666666664"/>
    </cacheField>
    <cacheField name="2025/26 (6)" numFmtId="0">
      <sharedItems containsString="0" containsBlank="1" containsNumber="1" minValue="7.6" maxValue="50"/>
    </cacheField>
    <cacheField name="2026/27 (7)" numFmtId="0">
      <sharedItems containsString="0" containsBlank="1" containsNumber="1" minValue="7.6" maxValue="50"/>
    </cacheField>
    <cacheField name="2027/28 (8)" numFmtId="0">
      <sharedItems containsString="0" containsBlank="1" containsNumber="1" minValue="7.6" maxValue="50"/>
    </cacheField>
    <cacheField name="2028/29 (9)" numFmtId="0">
      <sharedItems containsString="0" containsBlank="1" containsNumber="1" minValue="7.6" maxValue="50"/>
    </cacheField>
    <cacheField name="2029/30 (10)" numFmtId="0">
      <sharedItems containsString="0" containsBlank="1" containsNumber="1" minValue="7.6" maxValue="50"/>
    </cacheField>
    <cacheField name="2020-2030 Total" numFmtId="1">
      <sharedItems containsSemiMixedTypes="0" containsString="0" containsNumber="1" containsInteger="1" minValue="-30" maxValue="250"/>
    </cacheField>
    <cacheField name="Easting" numFmtId="0">
      <sharedItems containsSemiMixedTypes="0" containsString="0" containsNumber="1" containsInteger="1" minValue="512318" maxValue="522622"/>
    </cacheField>
    <cacheField name="Northing" numFmtId="0">
      <sharedItems containsSemiMixedTypes="0" containsString="0" containsNumber="1" containsInteger="1" minValue="168830" maxValue="177884"/>
    </cacheField>
    <cacheField name="Ward" numFmtId="0">
      <sharedItems/>
    </cacheField>
    <cacheField name="Garden Land" numFmtId="0">
      <sharedItems containsBlank="1"/>
    </cacheField>
    <cacheField name="Town_Centre" numFmtId="0">
      <sharedItems containsBlank="1" count="6">
        <m/>
        <s v="Twickenham"/>
        <s v="East Sheen"/>
        <s v="Whitton"/>
        <s v="Richmond"/>
        <s v="Teddington"/>
      </sharedItems>
    </cacheField>
    <cacheField name="TPA" numFmtId="0">
      <sharedItems containsBlank="1" count="2">
        <m/>
        <s v="Thames Policy Area"/>
      </sharedItems>
    </cacheField>
    <cacheField name="MixedUse" numFmtId="0">
      <sharedItems containsBlank="1"/>
    </cacheField>
    <cacheField name="MixedUse Name" numFmtId="0">
      <sharedItems containsBlank="1"/>
    </cacheField>
    <cacheField name="GreenBelt" numFmtId="0">
      <sharedItems containsBlank="1"/>
    </cacheField>
    <cacheField name="MOL" numFmtId="0">
      <sharedItems containsBlank="1"/>
    </cacheField>
    <cacheField name="Conservation Area" numFmtId="0">
      <sharedItems containsBlank="1" count="2">
        <m/>
        <s v="Conservation Area"/>
      </sharedItems>
    </cacheField>
    <cacheField name="Conservation Area Name" numFmtId="0">
      <sharedItems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6249997" createdVersion="6" refreshedVersion="6" minRefreshableVersion="3" recordCount="329" xr:uid="{04E7FC46-68B3-4482-8A19-1CE7FECBCBCD}">
  <cacheSource type="worksheet">
    <worksheetSource ref="A1:BN330" sheet="Data"/>
  </cacheSource>
  <cacheFields count="66">
    <cacheField name="Planning Ref" numFmtId="0">
      <sharedItems/>
    </cacheField>
    <cacheField name="Development Category" numFmtId="0">
      <sharedItems/>
    </cacheField>
    <cacheField name="Application Type" numFmtId="0">
      <sharedItems containsBlank="1"/>
    </cacheField>
    <cacheField name="Decision Date" numFmtId="14">
      <sharedItems containsNonDate="0" containsDate="1" containsString="0" containsBlank="1" minDate="2000-02-03T00:00:00" maxDate="2020-10-08T00:00:00"/>
    </cacheField>
    <cacheField name="Expiry Date" numFmtId="14">
      <sharedItems containsNonDate="0" containsDate="1" containsString="0" containsBlank="1" minDate="2005-02-03T00:00:00" maxDate="2023-09-15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ntainsBlank="1" count="6">
        <s v="01. Completion"/>
        <s v="02. Under Construction"/>
        <s v="03. Not Started"/>
        <s v="04. Site Allocation"/>
        <s v="05. Deliverable Sites"/>
        <m u="1"/>
      </sharedItems>
    </cacheField>
    <cacheField name="Tenure" numFmtId="0">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742"/>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234"/>
    </cacheField>
    <cacheField name="2023/24 (4)" numFmtId="0">
      <sharedItems containsSemiMixedTypes="0" containsString="0" containsNumber="1" minValue="-0.25" maxValue="234"/>
    </cacheField>
    <cacheField name="2024/25 (5)" numFmtId="0">
      <sharedItems containsSemiMixedTypes="0" containsString="0" containsNumber="1" minValue="-0.25" maxValue="234"/>
    </cacheField>
    <cacheField name="2025/26 (6)" numFmtId="0">
      <sharedItems containsString="0" containsBlank="1" containsNumber="1" minValue="0" maxValue="234"/>
    </cacheField>
    <cacheField name="2026/27 (7)" numFmtId="0">
      <sharedItems containsString="0" containsBlank="1" containsNumber="1" minValue="0" maxValue="234"/>
    </cacheField>
    <cacheField name="2027/28 (8)" numFmtId="0">
      <sharedItems containsString="0" containsBlank="1" containsNumber="1" minValue="0" maxValue="234"/>
    </cacheField>
    <cacheField name="2028/29 (9)" numFmtId="0">
      <sharedItems containsString="0" containsBlank="1" containsNumber="1" minValue="0" maxValue="234"/>
    </cacheField>
    <cacheField name="2029/30 (10)" numFmtId="0">
      <sharedItems containsString="0" containsBlank="1" containsNumber="1" minValue="0" maxValue="234"/>
    </cacheField>
    <cacheField name="2020-2030 Total" numFmtId="1">
      <sharedItems containsSemiMixedTypes="0" containsString="0" containsNumber="1" containsInteger="1" minValue="-30" maxValue="1912"/>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acheField>
    <cacheField name="Garden Land" numFmtId="0">
      <sharedItems containsBlank="1" count="2">
        <m/>
        <s v="Garden Land"/>
      </sharedItems>
    </cacheField>
    <cacheField name="Town_Centre" numFmtId="0">
      <sharedItems containsBlank="1"/>
    </cacheField>
    <cacheField name="TPA" numFmtId="0">
      <sharedItems containsBlank="1" count="2">
        <m/>
        <s v="Thames Policy Area"/>
      </sharedItems>
    </cacheField>
    <cacheField name="MixedUse" numFmtId="0">
      <sharedItems containsBlank="1" count="2">
        <m/>
        <s v="Mixed Use Area"/>
      </sharedItems>
    </cacheField>
    <cacheField name="MixedUse Name" numFmtId="0">
      <sharedItems containsBlank="1"/>
    </cacheField>
    <cacheField name="GreenBelt" numFmtId="0">
      <sharedItems containsBlank="1"/>
    </cacheField>
    <cacheField name="MOL" numFmtId="0">
      <sharedItems containsBlank="1"/>
    </cacheField>
    <cacheField name="Conservation Area" numFmtId="0">
      <sharedItems containsBlank="1"/>
    </cacheField>
    <cacheField name="Conservation Area Name"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6828705" missingItemsLimit="0" createdVersion="6" refreshedVersion="6" minRefreshableVersion="3" recordCount="329" xr:uid="{8E73B54F-7810-4597-95AA-A09B1DE093F8}">
  <cacheSource type="worksheet">
    <worksheetSource ref="A1:BE330" sheet="Data"/>
  </cacheSource>
  <cacheFields count="57">
    <cacheField name="Planning Ref" numFmtId="0">
      <sharedItems/>
    </cacheField>
    <cacheField name="Development Category" numFmtId="0">
      <sharedItems count="5">
        <s v="NEW"/>
        <s v="CHU"/>
        <s v="CON"/>
        <s v="MIX"/>
        <s v="EXT"/>
      </sharedItems>
    </cacheField>
    <cacheField name="Application Type" numFmtId="0">
      <sharedItems containsBlank="1"/>
    </cacheField>
    <cacheField name="Decision Date" numFmtId="14">
      <sharedItems containsNonDate="0" containsDate="1" containsString="0" containsBlank="1" minDate="2000-02-03T00:00:00" maxDate="2020-10-08T00:00:00"/>
    </cacheField>
    <cacheField name="Expiry Date" numFmtId="14">
      <sharedItems containsNonDate="0" containsDate="1" containsString="0" containsBlank="1" minDate="2005-02-03T00:00:00" maxDate="2023-09-15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5">
        <s v="01. Completion"/>
        <s v="02. Under Construction"/>
        <s v="03. Not Started"/>
        <s v="04. Site Allocation"/>
        <s v="05. Deliverable Sites"/>
      </sharedItems>
    </cacheField>
    <cacheField name="Tenure" numFmtId="0">
      <sharedItems count="6">
        <s v="Open Market"/>
        <s v="Affordable Rent"/>
        <s v="Intermediate"/>
        <s v="Social Rent"/>
        <s v="Open Market / Affordable"/>
        <s v="Affordable"/>
      </sharedItems>
    </cacheField>
    <cacheField name="5YHLS" numFmtId="0">
      <sharedItems containsBlank="1" count="10">
        <m/>
        <s v="N"/>
        <s v="Stag Brewery"/>
        <s v="Kew Biothane Plant"/>
        <s v="Barnes Hospital"/>
        <s v="Homebase Manor Road Richmond"/>
        <s v="Old Station Forecourt"/>
        <s v="The Strathmore Centre"/>
        <s v="Kneller Hall"/>
        <s v="Small Sites Trend"/>
      </sharedItems>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742"/>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234"/>
    </cacheField>
    <cacheField name="2023/24 (4)" numFmtId="0">
      <sharedItems containsSemiMixedTypes="0" containsString="0" containsNumber="1" minValue="-0.25" maxValue="234"/>
    </cacheField>
    <cacheField name="2024/25 (5)" numFmtId="0">
      <sharedItems containsSemiMixedTypes="0" containsString="0" containsNumber="1" minValue="-0.25" maxValue="234"/>
    </cacheField>
    <cacheField name="2025/26 (6)" numFmtId="0">
      <sharedItems containsString="0" containsBlank="1" containsNumber="1" minValue="0" maxValue="234"/>
    </cacheField>
    <cacheField name="2026/27 (7)" numFmtId="0">
      <sharedItems containsString="0" containsBlank="1" containsNumber="1" minValue="0" maxValue="234"/>
    </cacheField>
    <cacheField name="2027/28 (8)" numFmtId="0">
      <sharedItems containsString="0" containsBlank="1" containsNumber="1" minValue="0" maxValue="234"/>
    </cacheField>
    <cacheField name="2028/29 (9)" numFmtId="0">
      <sharedItems containsString="0" containsBlank="1" containsNumber="1" minValue="0" maxValue="234"/>
    </cacheField>
    <cacheField name="2029/30 (10)" numFmtId="0">
      <sharedItems containsString="0" containsBlank="1" containsNumber="1" minValue="0" maxValue="234"/>
    </cacheField>
    <cacheField name="2020-2030 Total" numFmtId="1">
      <sharedItems containsSemiMixedTypes="0" containsString="0" containsNumber="1" containsInteger="1" minValue="-30" maxValue="1912"/>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ount="19">
        <s v="Teddington"/>
        <s v="St. Margarets and North Twickenham"/>
        <s v="West Twickenham"/>
        <s v="Hampton Wick"/>
        <s v="South Richmond"/>
        <s v="South Twickenham"/>
        <s v="Mortlake and Barnes Common"/>
        <s v="East Sheen"/>
        <s v="Hampton"/>
        <s v="Kew"/>
        <s v="Twickenham Riverside"/>
        <s v="Fulwell and Hampton Hill"/>
        <s v="North Richmond"/>
        <s v="Whitton"/>
        <s v="Heathfield"/>
        <s v="Ham, Petersham and Richmond Riverside"/>
        <s v="Hampton North"/>
        <s v="Barnes"/>
        <s v="N/A"/>
      </sharedItems>
    </cacheField>
  </cacheFields>
  <extLst>
    <ext xmlns:x14="http://schemas.microsoft.com/office/spreadsheetml/2009/9/main" uri="{725AE2AE-9491-48be-B2B4-4EB974FC3084}">
      <x14:pivotCacheDefinition pivotCacheId="1591546653"/>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s, Chris" refreshedDate="44141.595608217591" missingItemsLimit="0" createdVersion="6" refreshedVersion="6" minRefreshableVersion="3" recordCount="329" xr:uid="{3383B6A2-8835-4134-93E1-43B9444084C8}">
  <cacheSource type="worksheet">
    <worksheetSource ref="A1:BN330" sheet="Data"/>
  </cacheSource>
  <cacheFields count="68">
    <cacheField name="Planning Ref" numFmtId="0">
      <sharedItems/>
    </cacheField>
    <cacheField name="Development Category" numFmtId="0">
      <sharedItems count="5">
        <s v="NEW"/>
        <s v="CHU"/>
        <s v="CON"/>
        <s v="MIX"/>
        <s v="EXT"/>
      </sharedItems>
    </cacheField>
    <cacheField name="Application Type" numFmtId="0">
      <sharedItems containsBlank="1" count="2">
        <m/>
        <s v="PA"/>
      </sharedItems>
    </cacheField>
    <cacheField name="Decision Date" numFmtId="14">
      <sharedItems containsNonDate="0" containsDate="1" containsString="0" containsBlank="1" minDate="2000-02-03T00:00:00" maxDate="2020-10-08T00:00:00"/>
    </cacheField>
    <cacheField name="Expiry Date" numFmtId="14">
      <sharedItems containsNonDate="0" containsDate="1" containsString="0" containsBlank="1" minDate="2005-02-03T00:00:00" maxDate="2023-09-15T00:00:00"/>
    </cacheField>
    <cacheField name="Start Date" numFmtId="0">
      <sharedItems containsNonDate="0" containsDate="1" containsString="0" containsBlank="1" minDate="2005-01-14T00:00:00" maxDate="2020-09-22T00:00:00"/>
    </cacheField>
    <cacheField name="Completion Date" numFmtId="0">
      <sharedItems containsNonDate="0" containsDate="1" containsString="0" containsBlank="1" minDate="2019-04-01T00:00:00" maxDate="2020-10-01T00:00:00"/>
    </cacheField>
    <cacheField name="Site Status" numFmtId="0">
      <sharedItems count="5">
        <s v="01. Completion"/>
        <s v="02. Under Construction"/>
        <s v="03. Not Started"/>
        <s v="04. Site Allocation"/>
        <s v="05. Deliverable Sites"/>
      </sharedItems>
    </cacheField>
    <cacheField name="Tenure" numFmtId="0">
      <sharedItems count="6">
        <s v="Open Market"/>
        <s v="Affordable Rent"/>
        <s v="Intermediate"/>
        <s v="Social Rent"/>
        <s v="Open Market / Affordable"/>
        <s v="Affordable"/>
      </sharedItems>
    </cacheField>
    <cacheField name="5YHLS" numFmtId="0">
      <sharedItems containsBlank="1"/>
    </cacheField>
    <cacheField name="PROPOSAL" numFmtId="0">
      <sharedItems containsBlank="1" longText="1"/>
    </cacheField>
    <cacheField name="ADDRESS" numFmtId="0">
      <sharedItems/>
    </cacheField>
    <cacheField name="PostCode" numFmtId="0">
      <sharedItems containsBlank="1"/>
    </cacheField>
    <cacheField name="1 BED EXISTING" numFmtId="0">
      <sharedItems containsString="0" containsBlank="1" containsNumber="1" containsInteger="1" minValue="0" maxValue="29"/>
    </cacheField>
    <cacheField name="2 BED EXISTING" numFmtId="0">
      <sharedItems containsString="0" containsBlank="1" containsNumber="1" containsInteger="1" minValue="0" maxValue="4"/>
    </cacheField>
    <cacheField name="3 BED EXISTING" numFmtId="0">
      <sharedItems containsString="0" containsBlank="1" containsNumber="1" containsInteger="1" minValue="0" maxValue="2"/>
    </cacheField>
    <cacheField name="4 BED EXISTING" numFmtId="0">
      <sharedItems containsString="0" containsBlank="1" containsNumber="1" containsInteger="1" minValue="0" maxValue="2"/>
    </cacheField>
    <cacheField name="5 BED EXISTING" numFmtId="0">
      <sharedItems containsString="0" containsBlank="1" containsNumber="1" containsInteger="1" minValue="0" maxValue="1"/>
    </cacheField>
    <cacheField name="6 BED EXISTING" numFmtId="0">
      <sharedItems containsString="0" containsBlank="1" containsNumber="1" containsInteger="1" minValue="1" maxValue="1"/>
    </cacheField>
    <cacheField name="7 BED EXISTING" numFmtId="0">
      <sharedItems containsString="0" containsBlank="1" containsNumber="1" containsInteger="1" minValue="1" maxValue="1"/>
    </cacheField>
    <cacheField name="9 BED EXISTING" numFmtId="0">
      <sharedItems containsString="0" containsBlank="1" containsNumber="1" containsInteger="1" minValue="1" maxValue="1"/>
    </cacheField>
    <cacheField name="Units Existing" numFmtId="0">
      <sharedItems containsString="0" containsBlank="1" containsNumber="1" containsInteger="1" minValue="0" maxValue="30"/>
    </cacheField>
    <cacheField name="Affordable" numFmtId="0">
      <sharedItems containsBlank="1"/>
    </cacheField>
    <cacheField name="1 BED PROPOSED" numFmtId="0">
      <sharedItems containsString="0" containsBlank="1" containsNumber="1" containsInteger="1" minValue="0" maxValue="38"/>
    </cacheField>
    <cacheField name="2 BED PROPOSED" numFmtId="0">
      <sharedItems containsString="0" containsBlank="1" containsNumber="1" containsInteger="1" minValue="1" maxValue="76"/>
    </cacheField>
    <cacheField name="3 BED PROPOSED" numFmtId="0">
      <sharedItems containsString="0" containsBlank="1" containsNumber="1" containsInteger="1" minValue="0" maxValue="31"/>
    </cacheField>
    <cacheField name="4 BED PROPOSED" numFmtId="0">
      <sharedItems containsString="0" containsBlank="1" containsNumber="1" containsInteger="1" minValue="0" maxValue="18"/>
    </cacheField>
    <cacheField name="5 BED PROPOSED" numFmtId="0">
      <sharedItems containsString="0" containsBlank="1" containsNumber="1" containsInteger="1" minValue="0" maxValue="3"/>
    </cacheField>
    <cacheField name="6 BED PROPOSED" numFmtId="0">
      <sharedItems containsString="0" containsBlank="1" containsNumber="1" containsInteger="1" minValue="0" maxValue="5"/>
    </cacheField>
    <cacheField name="7 BED PROPOSED" numFmtId="0">
      <sharedItems containsString="0" containsBlank="1" containsNumber="1" containsInteger="1" minValue="1" maxValue="1"/>
    </cacheField>
    <cacheField name="AFFORDABLE_HOUSING" numFmtId="0">
      <sharedItems containsString="0" containsBlank="1" containsNumber="1" containsInteger="1" minValue="0" maxValue="22"/>
    </cacheField>
    <cacheField name="Units Proposed" numFmtId="0">
      <sharedItems containsString="0" containsBlank="1" containsNumber="1" containsInteger="1" minValue="0" maxValue="146"/>
    </cacheField>
    <cacheField name="1 bed net" numFmtId="0">
      <sharedItems containsString="0" containsBlank="1" containsNumber="1" containsInteger="1" minValue="-29" maxValue="38"/>
    </cacheField>
    <cacheField name="2 bed net" numFmtId="0">
      <sharedItems containsString="0" containsBlank="1" containsNumber="1" containsInteger="1" minValue="-3" maxValue="76"/>
    </cacheField>
    <cacheField name="3 bed net" numFmtId="0">
      <sharedItems containsString="0" containsBlank="1" containsNumber="1" containsInteger="1" minValue="-2" maxValue="31"/>
    </cacheField>
    <cacheField name="4 bed net" numFmtId="0">
      <sharedItems containsString="0" containsBlank="1" containsNumber="1" containsInteger="1" minValue="-1" maxValue="18"/>
    </cacheField>
    <cacheField name="5 bed net" numFmtId="0">
      <sharedItems containsString="0" containsBlank="1" containsNumber="1" containsInteger="1" minValue="-1" maxValue="3"/>
    </cacheField>
    <cacheField name="6 bed net" numFmtId="0">
      <sharedItems containsString="0" containsBlank="1" containsNumber="1" containsInteger="1" minValue="-1" maxValue="5"/>
    </cacheField>
    <cacheField name="7 bed net" numFmtId="0">
      <sharedItems containsString="0" containsBlank="1" containsNumber="1" containsInteger="1" minValue="-1" maxValue="1"/>
    </cacheField>
    <cacheField name="9 bed net" numFmtId="0">
      <sharedItems containsString="0" containsBlank="1" containsNumber="1" containsInteger="1" minValue="-1" maxValue="0"/>
    </cacheField>
    <cacheField name="Net Dwellings" numFmtId="0">
      <sharedItems containsSemiMixedTypes="0" containsString="0" containsNumber="1" containsInteger="1" minValue="-30" maxValue="742"/>
    </cacheField>
    <cacheField name="Large Site Completion" numFmtId="0">
      <sharedItems containsBlank="1"/>
    </cacheField>
    <cacheField name="2019/20 ( R)" numFmtId="164">
      <sharedItems containsSemiMixedTypes="0" containsString="0" containsNumber="1" containsInteger="1" minValue="-3" maxValue="93"/>
    </cacheField>
    <cacheField name="2020/21 (1)" numFmtId="0">
      <sharedItems containsSemiMixedTypes="0" containsString="0" containsNumber="1" minValue="-30" maxValue="35.666666666666664"/>
    </cacheField>
    <cacheField name="2021/22 (2)" numFmtId="0">
      <sharedItems containsSemiMixedTypes="0" containsString="0" containsNumber="1" minValue="-1" maxValue="35.666666666666664"/>
    </cacheField>
    <cacheField name="2022/23 (3)" numFmtId="0">
      <sharedItems containsSemiMixedTypes="0" containsString="0" containsNumber="1" minValue="-0.25" maxValue="234"/>
    </cacheField>
    <cacheField name="2023/24 (4)" numFmtId="0">
      <sharedItems containsSemiMixedTypes="0" containsString="0" containsNumber="1" minValue="-0.25" maxValue="234"/>
    </cacheField>
    <cacheField name="2024/25 (5)" numFmtId="0">
      <sharedItems containsSemiMixedTypes="0" containsString="0" containsNumber="1" minValue="-0.25" maxValue="234"/>
    </cacheField>
    <cacheField name="2025/26 (6)" numFmtId="0">
      <sharedItems containsString="0" containsBlank="1" containsNumber="1" minValue="0" maxValue="234"/>
    </cacheField>
    <cacheField name="2026/27 (7)" numFmtId="0">
      <sharedItems containsString="0" containsBlank="1" containsNumber="1" minValue="0" maxValue="234"/>
    </cacheField>
    <cacheField name="2027/28 (8)" numFmtId="0">
      <sharedItems containsString="0" containsBlank="1" containsNumber="1" minValue="0" maxValue="234"/>
    </cacheField>
    <cacheField name="2028/29 (9)" numFmtId="0">
      <sharedItems containsString="0" containsBlank="1" containsNumber="1" minValue="0" maxValue="234"/>
    </cacheField>
    <cacheField name="2029/30 (10)" numFmtId="0">
      <sharedItems containsString="0" containsBlank="1" containsNumber="1" minValue="0" maxValue="234"/>
    </cacheField>
    <cacheField name="2020-2030 Total" numFmtId="1">
      <sharedItems containsSemiMixedTypes="0" containsString="0" containsNumber="1" containsInteger="1" minValue="-30" maxValue="1912"/>
    </cacheField>
    <cacheField name="Easting" numFmtId="0">
      <sharedItems containsString="0" containsBlank="1" containsNumber="1" containsInteger="1" minValue="512318" maxValue="522622"/>
    </cacheField>
    <cacheField name="Northing" numFmtId="0">
      <sharedItems containsString="0" containsBlank="1" containsNumber="1" containsInteger="1" minValue="168830" maxValue="177884"/>
    </cacheField>
    <cacheField name="Ward" numFmtId="0">
      <sharedItems count="19">
        <s v="Teddington"/>
        <s v="St. Margarets and North Twickenham"/>
        <s v="West Twickenham"/>
        <s v="Hampton Wick"/>
        <s v="South Richmond"/>
        <s v="South Twickenham"/>
        <s v="Mortlake and Barnes Common"/>
        <s v="East Sheen"/>
        <s v="Hampton"/>
        <s v="Kew"/>
        <s v="Twickenham Riverside"/>
        <s v="Fulwell and Hampton Hill"/>
        <s v="North Richmond"/>
        <s v="Whitton"/>
        <s v="Heathfield"/>
        <s v="Ham, Petersham and Richmond Riverside"/>
        <s v="Hampton North"/>
        <s v="Barnes"/>
        <s v="N/A"/>
      </sharedItems>
    </cacheField>
    <cacheField name="Garden Land" numFmtId="0">
      <sharedItems containsBlank="1"/>
    </cacheField>
    <cacheField name="Town_Centre" numFmtId="0">
      <sharedItems containsBlank="1"/>
    </cacheField>
    <cacheField name="TPA" numFmtId="0">
      <sharedItems containsBlank="1"/>
    </cacheField>
    <cacheField name="MixedUse" numFmtId="0">
      <sharedItems containsBlank="1"/>
    </cacheField>
    <cacheField name="MixedUse Name" numFmtId="0">
      <sharedItems containsBlank="1"/>
    </cacheField>
    <cacheField name="GreenBelt" numFmtId="0">
      <sharedItems containsBlank="1"/>
    </cacheField>
    <cacheField name="MOL" numFmtId="0">
      <sharedItems containsBlank="1"/>
    </cacheField>
    <cacheField name="Conservation Area" numFmtId="0">
      <sharedItems containsBlank="1"/>
    </cacheField>
    <cacheField name="Conservation Area Name" numFmtId="0">
      <sharedItems containsBlank="1"/>
    </cacheField>
    <cacheField name="5 year total" numFmtId="0" formula="'2020/21 (1)'+'2021/22 (2)'+'2022/23 (3)'+'2023/24 (4)'+'2024/25 (5)'" databaseField="0"/>
    <cacheField name="6-10 year total" numFmtId="0" formula="'2025/26 (6)'+'2026/27 (7)'+'2027/28 (8)'+'2028/29 (9)'+'2029/30 (1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6">
  <r>
    <s v="10/0312/FUL"/>
    <x v="0"/>
    <x v="0"/>
    <d v="2010-06-15T00:00:00"/>
    <d v="2013-06-15T00:00:00"/>
    <d v="2013-06-15T00:00:00"/>
    <d v="2019-10-03T00:00:00"/>
    <x v="0"/>
    <s v="Open Market"/>
    <x v="0"/>
    <s v="Construction of three bedroom house and associated landscaping"/>
    <s v="72 Stanley Road_x000d_Teddington_x000d__x000d_"/>
    <m/>
    <m/>
    <m/>
    <m/>
    <m/>
    <m/>
    <m/>
    <m/>
    <m/>
    <n v="0"/>
    <m/>
    <m/>
    <m/>
    <n v="1"/>
    <m/>
    <m/>
    <m/>
    <m/>
    <m/>
    <n v="1"/>
    <n v="0"/>
    <n v="0"/>
    <n v="1"/>
    <n v="0"/>
    <n v="0"/>
    <n v="0"/>
    <n v="0"/>
    <n v="0"/>
    <n v="1"/>
    <m/>
    <n v="1"/>
    <n v="0"/>
    <n v="0"/>
    <n v="0"/>
    <n v="0"/>
    <n v="0"/>
    <m/>
    <m/>
    <m/>
    <m/>
    <m/>
    <n v="0"/>
    <n v="515372"/>
    <n v="171266"/>
    <s v="Teddington"/>
  </r>
  <r>
    <s v="11/1443/FUL"/>
    <x v="0"/>
    <x v="0"/>
    <d v="2012-03-30T00:00:00"/>
    <d v="2015-03-30T00:00:00"/>
    <d v="2015-03-14T00:00:00"/>
    <d v="2020-01-31T00:00:00"/>
    <x v="0"/>
    <s v="Open Market"/>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s v="St. Margarets and North Twickenham"/>
  </r>
  <r>
    <s v="11/2882/FUL"/>
    <x v="1"/>
    <x v="0"/>
    <d v="2012-09-10T00:00:00"/>
    <d v="2015-09-10T00:00:00"/>
    <d v="2015-09-09T00:00:00"/>
    <d v="2020-03-18T00:00:00"/>
    <x v="0"/>
    <s v="Open Market"/>
    <x v="0"/>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s v="West Twickenham"/>
  </r>
  <r>
    <s v="13/2163/FUL"/>
    <x v="2"/>
    <x v="0"/>
    <d v="2013-10-25T00:00:00"/>
    <d v="2016-10-28T00:00:00"/>
    <d v="2016-09-01T00:00:00"/>
    <d v="2019-08-14T00:00:00"/>
    <x v="0"/>
    <s v="Open Market"/>
    <x v="0"/>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s v="Hampton Wick"/>
  </r>
  <r>
    <s v="14/3983/FUL"/>
    <x v="0"/>
    <x v="0"/>
    <d v="2015-05-15T00:00:00"/>
    <d v="2019-03-18T00:00:00"/>
    <d v="2017-04-14T00:00:00"/>
    <d v="2020-03-31T00:00:00"/>
    <x v="0"/>
    <s v="Open Market"/>
    <x v="0"/>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s v="South Richmond"/>
  </r>
  <r>
    <s v="14/4464/P3JPA"/>
    <x v="1"/>
    <x v="1"/>
    <d v="2015-01-05T00:00:00"/>
    <d v="2020-07-21T00:00:00"/>
    <d v="2018-02-01T00:00:00"/>
    <d v="2019-10-11T00:00:00"/>
    <x v="0"/>
    <s v="Open Market"/>
    <x v="0"/>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s v="South Twickenham"/>
  </r>
  <r>
    <s v="14/4721/FUL"/>
    <x v="0"/>
    <x v="0"/>
    <d v="2015-07-30T00:00:00"/>
    <d v="2018-07-30T00:00:00"/>
    <d v="2018-06-25T00:00:00"/>
    <d v="2020-02-19T00:00:00"/>
    <x v="0"/>
    <s v="Open Market"/>
    <x v="0"/>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s v="Mortlake and Barnes Common"/>
  </r>
  <r>
    <s v="14/4793/FUL"/>
    <x v="3"/>
    <x v="0"/>
    <d v="2016-11-11T00:00:00"/>
    <d v="2019-11-11T00:00:00"/>
    <d v="2018-01-14T00:00:00"/>
    <d v="2019-11-20T00:00:00"/>
    <x v="0"/>
    <s v="Open Market"/>
    <x v="0"/>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s v="East Sheen"/>
  </r>
  <r>
    <s v="14/5364/P3JPA"/>
    <x v="1"/>
    <x v="1"/>
    <d v="2015-03-03T00:00:00"/>
    <d v="2020-03-03T00:00:00"/>
    <d v="2016-03-01T00:00:00"/>
    <d v="2019-05-31T00:00:00"/>
    <x v="0"/>
    <s v="Open Market"/>
    <x v="0"/>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s v="Hampton"/>
  </r>
  <r>
    <s v="15/0160/FUL"/>
    <x v="0"/>
    <x v="0"/>
    <d v="2016-02-05T00:00:00"/>
    <d v="2019-02-05T00:00:00"/>
    <d v="2017-10-02T00:00:00"/>
    <d v="2019-05-20T00:00:00"/>
    <x v="0"/>
    <s v="Open Market"/>
    <x v="0"/>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s v="Teddington"/>
  </r>
  <r>
    <s v="15/0421/FUL"/>
    <x v="2"/>
    <x v="0"/>
    <d v="2016-08-04T00:00:00"/>
    <d v="2019-08-04T00:00:00"/>
    <d v="2018-03-01T00:00:00"/>
    <d v="2019-09-06T00:00:00"/>
    <x v="0"/>
    <s v="Open Market"/>
    <x v="0"/>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s v="South Richmond"/>
  </r>
  <r>
    <s v="15/1440/FUL"/>
    <x v="0"/>
    <x v="0"/>
    <d v="2018-09-28T00:00:00"/>
    <d v="2021-10-01T00:00:00"/>
    <d v="2019-02-01T00:00:00"/>
    <d v="2020-03-09T00:00:00"/>
    <x v="0"/>
    <s v="Open Market"/>
    <x v="0"/>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s v="West Twickenham"/>
  </r>
  <r>
    <s v="15/1638/FUL"/>
    <x v="0"/>
    <x v="0"/>
    <d v="2016-08-23T00:00:00"/>
    <d v="2020-06-22T00:00:00"/>
    <d v="2018-02-01T00:00:00"/>
    <d v="2019-10-21T00:00:00"/>
    <x v="0"/>
    <s v="Open Market"/>
    <x v="0"/>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s v="St. Margarets and North Twickenham"/>
  </r>
  <r>
    <s v="15/2440/VRC"/>
    <x v="0"/>
    <x v="0"/>
    <d v="2015-08-04T00:00:00"/>
    <d v="2018-08-04T00:00:00"/>
    <d v="2018-04-01T00:00:00"/>
    <d v="2019-10-18T00:00:00"/>
    <x v="0"/>
    <s v="Open Market"/>
    <x v="0"/>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s v="Kew"/>
  </r>
  <r>
    <s v="15/2452/FUL"/>
    <x v="0"/>
    <x v="0"/>
    <d v="2015-07-27T00:00:00"/>
    <d v="2018-07-27T00:00:00"/>
    <d v="2016-05-12T00:00:00"/>
    <d v="2019-08-28T00:00:00"/>
    <x v="0"/>
    <s v="Open Market"/>
    <x v="0"/>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s v="Twickenham Riverside"/>
  </r>
  <r>
    <s v="15/3183/FUL"/>
    <x v="2"/>
    <x v="0"/>
    <d v="2015-12-29T00:00:00"/>
    <d v="2018-12-30T00:00:00"/>
    <d v="2018-12-03T00:00:00"/>
    <d v="2019-07-01T00:00:00"/>
    <x v="0"/>
    <s v="Open Market"/>
    <x v="0"/>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s v="Fulwell and Hampton Hill"/>
  </r>
  <r>
    <s v="15/4230/FUL"/>
    <x v="4"/>
    <x v="0"/>
    <d v="2016-06-02T00:00:00"/>
    <d v="2019-06-02T00:00:00"/>
    <d v="2017-06-05T00:00:00"/>
    <d v="2019-08-29T00:00:00"/>
    <x v="0"/>
    <s v="Open Market"/>
    <x v="0"/>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s v="Twickenham Riverside"/>
  </r>
  <r>
    <s v="15/4281/GPD15"/>
    <x v="1"/>
    <x v="1"/>
    <d v="2015-12-08T00:00:00"/>
    <d v="2020-12-09T00:00:00"/>
    <m/>
    <d v="2019-04-01T00:00:00"/>
    <x v="0"/>
    <s v="Open Market"/>
    <x v="0"/>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s v="Hampton Wick"/>
  </r>
  <r>
    <s v="15/4835/FUL"/>
    <x v="0"/>
    <x v="0"/>
    <d v="2016-09-06T00:00:00"/>
    <d v="2019-09-07T00:00:00"/>
    <m/>
    <d v="2019-07-31T00:00:00"/>
    <x v="0"/>
    <s v="Open Market"/>
    <x v="0"/>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s v="Fulwell and Hampton Hill"/>
  </r>
  <r>
    <s v="15/5216/FUL"/>
    <x v="0"/>
    <x v="0"/>
    <d v="2016-09-08T00:00:00"/>
    <d v="2019-10-21T00:00:00"/>
    <d v="2017-11-01T00:00:00"/>
    <d v="2019-06-30T00:00:00"/>
    <x v="0"/>
    <s v="Affordable Rent"/>
    <x v="0"/>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s v="Hampton Wick"/>
  </r>
  <r>
    <s v="15/5369/FUL"/>
    <x v="0"/>
    <x v="0"/>
    <d v="2016-06-15T00:00:00"/>
    <d v="2019-06-17T00:00:00"/>
    <m/>
    <d v="2019-07-30T00:00:00"/>
    <x v="0"/>
    <s v="Open Market"/>
    <x v="0"/>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s v="Hampton"/>
  </r>
  <r>
    <s v="16/0234/FUL"/>
    <x v="0"/>
    <x v="0"/>
    <d v="2016-10-14T00:00:00"/>
    <d v="2019-10-14T00:00:00"/>
    <d v="2017-12-01T00:00:00"/>
    <d v="2019-07-19T00:00:00"/>
    <x v="0"/>
    <s v="Open Market"/>
    <x v="0"/>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s v="South Twickenham"/>
  </r>
  <r>
    <s v="16/1293/FUL"/>
    <x v="4"/>
    <x v="0"/>
    <d v="2017-11-20T00:00:00"/>
    <d v="2020-11-21T00:00:00"/>
    <d v="2018-02-01T00:00:00"/>
    <d v="2019-10-11T00:00:00"/>
    <x v="0"/>
    <s v="Open Market"/>
    <x v="0"/>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s v="South Twickenham"/>
  </r>
  <r>
    <s v="16/1344/FUL"/>
    <x v="1"/>
    <x v="0"/>
    <d v="2017-05-18T00:00:00"/>
    <d v="2020-05-18T00:00:00"/>
    <d v="2018-01-08T00:00:00"/>
    <d v="2019-09-03T00:00:00"/>
    <x v="0"/>
    <s v="Open Market"/>
    <x v="0"/>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s v="St. Margarets and North Twickenham"/>
  </r>
  <r>
    <s v="16/1729/FUL"/>
    <x v="3"/>
    <x v="0"/>
    <d v="2017-01-16T00:00:00"/>
    <d v="2020-05-03T00:00:00"/>
    <d v="2018-02-01T00:00:00"/>
    <d v="2019-08-01T00:00:00"/>
    <x v="0"/>
    <s v="Open Market"/>
    <x v="0"/>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s v="Hampton"/>
  </r>
  <r>
    <s v="16/1935/GPD15"/>
    <x v="1"/>
    <x v="1"/>
    <d v="2016-07-04T00:00:00"/>
    <d v="2019-07-19T00:00:00"/>
    <d v="2018-10-01T00:00:00"/>
    <d v="2019-09-30T00:00:00"/>
    <x v="0"/>
    <s v="Open Market"/>
    <x v="0"/>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s v="Fulwell and Hampton Hill"/>
  </r>
  <r>
    <s v="16/2042/FUL"/>
    <x v="2"/>
    <x v="0"/>
    <d v="2018-10-19T00:00:00"/>
    <d v="2021-10-19T00:00:00"/>
    <d v="2019-03-01T00:00:00"/>
    <d v="2020-03-02T00:00:00"/>
    <x v="0"/>
    <s v="Open Market"/>
    <x v="0"/>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s v="St. Margarets and North Twickenham"/>
  </r>
  <r>
    <s v="16/2158/FUL"/>
    <x v="2"/>
    <x v="0"/>
    <d v="2016-08-05T00:00:00"/>
    <d v="2019-08-05T00:00:00"/>
    <d v="2016-09-29T00:00:00"/>
    <d v="2020-03-31T00:00:00"/>
    <x v="0"/>
    <s v="Open Market"/>
    <x v="0"/>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s v="St. Margarets and North Twickenham"/>
  </r>
  <r>
    <s v="16/2348/FUL"/>
    <x v="0"/>
    <x v="0"/>
    <d v="2016-11-30T00:00:00"/>
    <d v="2019-11-30T00:00:00"/>
    <d v="2018-04-25T00:00:00"/>
    <d v="2020-03-31T00:00:00"/>
    <x v="0"/>
    <s v="Open Market"/>
    <x v="0"/>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s v="North Richmond"/>
  </r>
  <r>
    <s v="16/2502/FUL"/>
    <x v="0"/>
    <x v="0"/>
    <d v="2017-03-16T00:00:00"/>
    <d v="2020-03-17T00:00:00"/>
    <d v="2018-02-01T00:00:00"/>
    <d v="2019-09-27T00:00:00"/>
    <x v="0"/>
    <s v="Open Market"/>
    <x v="0"/>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s v="South Twickenham"/>
  </r>
  <r>
    <s v="16/2975/GPD15"/>
    <x v="1"/>
    <x v="1"/>
    <d v="2016-09-14T00:00:00"/>
    <d v="2019-09-14T00:00:00"/>
    <d v="2019-01-09T00:00:00"/>
    <d v="2019-12-23T00:00:00"/>
    <x v="0"/>
    <s v="Open Market"/>
    <x v="0"/>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s v="Twickenham Riverside"/>
  </r>
  <r>
    <s v="16/3210/GPD15"/>
    <x v="1"/>
    <x v="1"/>
    <d v="2016-09-30T00:00:00"/>
    <d v="2019-09-30T00:00:00"/>
    <d v="2019-04-02T00:00:00"/>
    <d v="2020-02-11T00:00:00"/>
    <x v="0"/>
    <s v="Open Market"/>
    <x v="0"/>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s v="Whitton"/>
  </r>
  <r>
    <s v="16/3247/FUL"/>
    <x v="0"/>
    <x v="0"/>
    <d v="2017-07-14T00:00:00"/>
    <d v="2020-10-31T00:00:00"/>
    <d v="2018-10-01T00:00:00"/>
    <d v="2020-01-21T00:00:00"/>
    <x v="0"/>
    <s v="Open Market"/>
    <x v="0"/>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s v="Heathfield"/>
  </r>
  <r>
    <s v="16/3485/FUL"/>
    <x v="2"/>
    <x v="0"/>
    <d v="2017-10-30T00:00:00"/>
    <d v="2020-10-30T00:00:00"/>
    <d v="2020-01-10T00:00:00"/>
    <d v="2019-07-01T00:00:00"/>
    <x v="0"/>
    <s v="Open Market"/>
    <x v="0"/>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s v="Fulwell and Hampton Hill"/>
  </r>
  <r>
    <s v="16/3552/FUL"/>
    <x v="3"/>
    <x v="0"/>
    <d v="2018-04-24T00:00:00"/>
    <d v="2021-04-24T00:00:00"/>
    <d v="2018-04-25T00:00:00"/>
    <d v="2020-03-30T00:00:00"/>
    <x v="0"/>
    <s v="Open Market"/>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s v="Ham, Petersham and Richmond Riverside"/>
  </r>
  <r>
    <s v="16/3685/FUL"/>
    <x v="3"/>
    <x v="0"/>
    <d v="2016-11-16T00:00:00"/>
    <d v="2021-02-15T00:00:00"/>
    <d v="2018-06-22T00:00:00"/>
    <d v="2019-08-31T00:00:00"/>
    <x v="0"/>
    <s v="Open Market"/>
    <x v="0"/>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s v="St. Margarets and North Twickenham"/>
  </r>
  <r>
    <s v="16/4193/FUL"/>
    <x v="0"/>
    <x v="0"/>
    <d v="2017-07-19T00:00:00"/>
    <d v="2020-07-19T00:00:00"/>
    <m/>
    <d v="2019-11-13T00:00:00"/>
    <x v="0"/>
    <s v="Open Market"/>
    <x v="0"/>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s v="Hampton North"/>
  </r>
  <r>
    <s v="17/0164/GPD15"/>
    <x v="1"/>
    <x v="1"/>
    <d v="2017-03-10T00:00:00"/>
    <d v="2020-03-10T00:00:00"/>
    <d v="2018-10-01T00:00:00"/>
    <d v="2019-04-24T00:00:00"/>
    <x v="0"/>
    <s v="Open Market"/>
    <x v="0"/>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s v="Twickenham Riverside"/>
  </r>
  <r>
    <s v="17/0396/FUL"/>
    <x v="0"/>
    <x v="0"/>
    <d v="2017-06-05T00:00:00"/>
    <d v="2020-06-05T00:00:00"/>
    <d v="2019-02-01T00:00:00"/>
    <d v="2020-03-23T00:00:00"/>
    <x v="0"/>
    <s v="Affordable Rent"/>
    <x v="0"/>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s v="Ham, Petersham and Richmond Riverside"/>
  </r>
  <r>
    <s v="17/0460/FUL"/>
    <x v="2"/>
    <x v="0"/>
    <d v="2017-07-14T00:00:00"/>
    <d v="2020-07-14T00:00:00"/>
    <m/>
    <d v="2020-03-31T00:00:00"/>
    <x v="0"/>
    <s v="Open Market"/>
    <x v="0"/>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s v="Barnes"/>
  </r>
  <r>
    <s v="17/0733/FUL"/>
    <x v="2"/>
    <x v="0"/>
    <d v="2017-09-13T00:00:00"/>
    <d v="2020-09-13T00:00:00"/>
    <d v="2019-10-31T00:00:00"/>
    <d v="2020-03-18T00:00:00"/>
    <x v="0"/>
    <s v="Open Market"/>
    <x v="0"/>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s v="East Sheen"/>
  </r>
  <r>
    <s v="17/0956/FUL"/>
    <x v="0"/>
    <x v="0"/>
    <d v="2017-09-14T00:00:00"/>
    <d v="2020-09-14T00:00:00"/>
    <d v="2019-01-14T00:00:00"/>
    <d v="2020-02-20T00:00:00"/>
    <x v="0"/>
    <s v="Open Market"/>
    <x v="0"/>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s v="Barnes"/>
  </r>
  <r>
    <s v="17/1207/FUL"/>
    <x v="0"/>
    <x v="0"/>
    <d v="2017-10-24T00:00:00"/>
    <d v="2020-10-24T00:00:00"/>
    <d v="2018-10-01T00:00:00"/>
    <d v="2019-11-18T00:00:00"/>
    <x v="0"/>
    <s v="Open Market"/>
    <x v="0"/>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s v="Kew"/>
  </r>
  <r>
    <s v="17/1286/VRC"/>
    <x v="0"/>
    <x v="0"/>
    <d v="2017-10-05T00:00:00"/>
    <d v="2017-12-09T00:00:00"/>
    <d v="2017-10-05T00:00:00"/>
    <d v="2019-08-19T00:00:00"/>
    <x v="0"/>
    <s v="Affordable Rent"/>
    <x v="0"/>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s v="Teddington"/>
  </r>
  <r>
    <s v="17/1286/VRC"/>
    <x v="0"/>
    <x v="0"/>
    <d v="2017-10-05T00:00:00"/>
    <d v="2017-12-09T00:00:00"/>
    <d v="2017-10-05T00:00:00"/>
    <d v="2019-12-06T00:00:00"/>
    <x v="0"/>
    <s v="Open Market"/>
    <x v="0"/>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s v="Teddington"/>
  </r>
  <r>
    <s v="17/1286/VRC"/>
    <x v="0"/>
    <x v="0"/>
    <d v="2017-10-05T00:00:00"/>
    <d v="2017-12-09T00:00:00"/>
    <d v="2017-10-05T00:00:00"/>
    <d v="2019-04-26T00:00:00"/>
    <x v="0"/>
    <s v="Open Market"/>
    <x v="0"/>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s v="Teddington"/>
  </r>
  <r>
    <s v="17/1621/FUL"/>
    <x v="1"/>
    <x v="0"/>
    <d v="2017-10-09T00:00:00"/>
    <d v="2021-04-03T00:00:00"/>
    <d v="2019-09-05T00:00:00"/>
    <d v="2019-10-29T00:00:00"/>
    <x v="0"/>
    <s v="Open Market"/>
    <x v="0"/>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s v="South Richmond"/>
  </r>
  <r>
    <s v="17/2534/FUL"/>
    <x v="2"/>
    <x v="0"/>
    <d v="2018-02-22T00:00:00"/>
    <d v="2021-02-22T00:00:00"/>
    <d v="2019-03-01T00:00:00"/>
    <d v="2020-03-25T00:00:00"/>
    <x v="0"/>
    <s v="Open Market"/>
    <x v="0"/>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s v="South Richmond"/>
  </r>
  <r>
    <s v="17/2779/NMA"/>
    <x v="0"/>
    <x v="0"/>
    <d v="2018-03-09T00:00:00"/>
    <d v="2021-03-09T00:00:00"/>
    <d v="2016-05-02T00:00:00"/>
    <d v="2020-03-31T00:00:00"/>
    <x v="0"/>
    <s v="Open Market"/>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s v="Ham, Petersham and Richmond Riverside"/>
  </r>
  <r>
    <s v="17/2779/NMA"/>
    <x v="0"/>
    <x v="0"/>
    <d v="2018-03-09T00:00:00"/>
    <d v="2021-03-09T00:00:00"/>
    <d v="2016-05-02T00:00:00"/>
    <d v="2020-03-31T00:00:00"/>
    <x v="0"/>
    <s v="Open Market"/>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s v="Ham, Petersham and Richmond Riverside"/>
  </r>
  <r>
    <s v="17/2995/FUL"/>
    <x v="1"/>
    <x v="0"/>
    <d v="2018-04-24T00:00:00"/>
    <d v="2021-04-24T00:00:00"/>
    <d v="2019-01-31T00:00:00"/>
    <d v="2019-04-10T00:00:00"/>
    <x v="0"/>
    <s v="Open Market"/>
    <x v="0"/>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s v="North Richmond"/>
  </r>
  <r>
    <s v="17/3132/FUL"/>
    <x v="0"/>
    <x v="0"/>
    <d v="2018-10-16T00:00:00"/>
    <d v="2021-10-16T00:00:00"/>
    <d v="2019-02-05T00:00:00"/>
    <d v="2020-03-31T00:00:00"/>
    <x v="0"/>
    <s v="Open Market"/>
    <x v="0"/>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s v="Twickenham Riverside"/>
  </r>
  <r>
    <s v="17/3347/FUL"/>
    <x v="0"/>
    <x v="0"/>
    <d v="2018-07-25T00:00:00"/>
    <d v="2021-07-25T00:00:00"/>
    <d v="2018-11-01T00:00:00"/>
    <d v="2019-12-02T00:00:00"/>
    <x v="0"/>
    <s v="Open Market"/>
    <x v="0"/>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s v="Mortlake and Barnes Common"/>
  </r>
  <r>
    <s v="17/3591/FUL"/>
    <x v="2"/>
    <x v="0"/>
    <d v="2018-10-12T00:00:00"/>
    <d v="2021-10-12T00:00:00"/>
    <m/>
    <d v="2020-03-31T00:00:00"/>
    <x v="0"/>
    <s v="Open Market"/>
    <x v="0"/>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s v="Whitton"/>
  </r>
  <r>
    <s v="17/4238/FUL"/>
    <x v="0"/>
    <x v="0"/>
    <d v="2018-02-23T00:00:00"/>
    <d v="2021-02-26T00:00:00"/>
    <d v="2019-02-13T00:00:00"/>
    <d v="2019-10-30T00:00:00"/>
    <x v="0"/>
    <s v="Open Market"/>
    <x v="0"/>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s v="Teddington"/>
  </r>
  <r>
    <s v="17/4606/FUL"/>
    <x v="0"/>
    <x v="0"/>
    <d v="2018-05-04T00:00:00"/>
    <d v="2021-05-04T00:00:00"/>
    <d v="2018-06-01T00:00:00"/>
    <d v="2019-05-31T00:00:00"/>
    <x v="0"/>
    <s v="Open Market"/>
    <x v="0"/>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s v="Ham, Petersham and Richmond Riverside"/>
  </r>
  <r>
    <s v="18/0318/FUL"/>
    <x v="2"/>
    <x v="0"/>
    <d v="2018-10-09T00:00:00"/>
    <d v="2021-10-09T00:00:00"/>
    <d v="2018-11-01T00:00:00"/>
    <d v="2020-03-18T00:00:00"/>
    <x v="0"/>
    <s v="Open Market"/>
    <x v="0"/>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s v="West Twickenham"/>
  </r>
  <r>
    <s v="18/0433/FUL"/>
    <x v="1"/>
    <x v="0"/>
    <d v="2018-07-24T00:00:00"/>
    <d v="2021-07-24T00:00:00"/>
    <d v="2019-05-01T00:00:00"/>
    <d v="2019-09-14T00:00:00"/>
    <x v="0"/>
    <s v="Open Market"/>
    <x v="0"/>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s v="St. Margarets and North Twickenham"/>
  </r>
  <r>
    <s v="18/0665/FUL"/>
    <x v="0"/>
    <x v="0"/>
    <d v="2018-09-20T00:00:00"/>
    <d v="2021-09-20T00:00:00"/>
    <d v="2018-04-09T00:00:00"/>
    <d v="2019-08-01T00:00:00"/>
    <x v="0"/>
    <s v="Open Market"/>
    <x v="0"/>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s v="South Twickenham"/>
  </r>
  <r>
    <s v="18/0737/FUL"/>
    <x v="1"/>
    <x v="0"/>
    <d v="2018-12-12T00:00:00"/>
    <d v="2021-12-13T00:00:00"/>
    <d v="2019-01-08T00:00:00"/>
    <d v="2020-02-07T00:00:00"/>
    <x v="0"/>
    <s v="Open Market"/>
    <x v="0"/>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s v="Mortlake and Barnes Common"/>
  </r>
  <r>
    <s v="18/0743/FUL"/>
    <x v="0"/>
    <x v="0"/>
    <d v="2018-08-23T00:00:00"/>
    <d v="2021-08-23T00:00:00"/>
    <m/>
    <d v="2019-05-28T00:00:00"/>
    <x v="0"/>
    <s v="Open Market"/>
    <x v="0"/>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s v="West Twickenham"/>
  </r>
  <r>
    <s v="18/0745/FUL"/>
    <x v="2"/>
    <x v="0"/>
    <d v="2018-07-06T00:00:00"/>
    <d v="2021-07-06T00:00:00"/>
    <d v="2018-10-01T00:00:00"/>
    <d v="2019-10-15T00:00:00"/>
    <x v="0"/>
    <s v="Open Market"/>
    <x v="0"/>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s v="Teddington"/>
  </r>
  <r>
    <s v="18/0860/GPD15"/>
    <x v="1"/>
    <x v="1"/>
    <d v="2018-05-08T00:00:00"/>
    <d v="2021-05-08T00:00:00"/>
    <m/>
    <d v="2019-06-14T00:00:00"/>
    <x v="0"/>
    <s v="Open Market"/>
    <x v="0"/>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s v="Teddington"/>
  </r>
  <r>
    <s v="18/1175/FUL"/>
    <x v="4"/>
    <x v="0"/>
    <d v="2018-10-05T00:00:00"/>
    <d v="2021-10-05T00:00:00"/>
    <d v="2019-05-17T00:00:00"/>
    <d v="2019-09-10T00:00:00"/>
    <x v="0"/>
    <s v="Open Market"/>
    <x v="0"/>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s v="North Richmond"/>
  </r>
  <r>
    <s v="18/1360/GPD15"/>
    <x v="1"/>
    <x v="1"/>
    <d v="2018-06-15T00:00:00"/>
    <d v="2021-06-15T00:00:00"/>
    <d v="2019-05-03T00:00:00"/>
    <d v="2019-09-12T00:00:00"/>
    <x v="0"/>
    <s v="Open Market"/>
    <x v="0"/>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s v="East Sheen"/>
  </r>
  <r>
    <s v="18/1566/FUL"/>
    <x v="2"/>
    <x v="0"/>
    <d v="2018-09-25T00:00:00"/>
    <d v="2021-09-25T00:00:00"/>
    <d v="2019-01-31T00:00:00"/>
    <d v="2019-10-10T00:00:00"/>
    <x v="0"/>
    <s v="Open Market"/>
    <x v="0"/>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s v="St. Margarets and North Twickenham"/>
  </r>
  <r>
    <s v="18/1569/FUL"/>
    <x v="2"/>
    <x v="0"/>
    <d v="2018-08-17T00:00:00"/>
    <d v="2022-03-11T00:00:00"/>
    <d v="2019-03-31T00:00:00"/>
    <d v="2019-05-31T00:00:00"/>
    <x v="0"/>
    <s v="Open Market"/>
    <x v="0"/>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s v="Twickenham Riverside"/>
  </r>
  <r>
    <s v="18/1722/GPD13"/>
    <x v="1"/>
    <x v="1"/>
    <d v="2018-07-12T00:00:00"/>
    <d v="2021-07-12T00:00:00"/>
    <d v="2018-04-02T00:00:00"/>
    <d v="2019-10-14T00:00:00"/>
    <x v="0"/>
    <s v="Open Market"/>
    <x v="0"/>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s v="Fulwell and Hampton Hill"/>
  </r>
  <r>
    <s v="18/1817/GPD15"/>
    <x v="1"/>
    <x v="1"/>
    <d v="2018-06-29T00:00:00"/>
    <d v="2021-06-29T00:00:00"/>
    <m/>
    <d v="2020-02-21T00:00:00"/>
    <x v="0"/>
    <s v="Open Market"/>
    <x v="0"/>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s v="Fulwell and Hampton Hill"/>
  </r>
  <r>
    <s v="18/2296/ES191"/>
    <x v="2"/>
    <x v="0"/>
    <d v="2018-08-20T00:00:00"/>
    <d v="2019-11-29T00:00:00"/>
    <m/>
    <d v="2019-11-29T00:00:00"/>
    <x v="0"/>
    <s v="Open Market"/>
    <x v="0"/>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s v="Heathfield"/>
  </r>
  <r>
    <s v="18/2620/FUL"/>
    <x v="4"/>
    <x v="0"/>
    <d v="2019-01-04T00:00:00"/>
    <d v="2022-01-04T00:00:00"/>
    <d v="2018-04-02T00:00:00"/>
    <d v="2019-12-02T00:00:00"/>
    <x v="0"/>
    <s v="Open Market"/>
    <x v="0"/>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s v="Fulwell and Hampton Hill"/>
  </r>
  <r>
    <s v="19/0141/ES191"/>
    <x v="1"/>
    <x v="0"/>
    <d v="2019-06-21T00:00:00"/>
    <d v="2019-06-21T00:00:00"/>
    <d v="2019-06-21T00:00:00"/>
    <d v="2019-06-21T00:00:00"/>
    <x v="0"/>
    <s v="Open Market"/>
    <x v="0"/>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s v="St. Margarets and North Twickenham"/>
  </r>
  <r>
    <s v="19/0475/FUL"/>
    <x v="3"/>
    <x v="0"/>
    <d v="2019-07-31T00:00:00"/>
    <d v="2022-07-31T00:00:00"/>
    <m/>
    <d v="2020-02-26T00:00:00"/>
    <x v="0"/>
    <s v="Open Market"/>
    <x v="0"/>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s v="Fulwell and Hampton Hill"/>
  </r>
  <r>
    <s v="19/0739/FUL"/>
    <x v="2"/>
    <x v="0"/>
    <d v="2019-10-23T00:00:00"/>
    <d v="2022-10-23T00:00:00"/>
    <m/>
    <d v="2019-10-23T00:00:00"/>
    <x v="0"/>
    <s v="Open Market"/>
    <x v="0"/>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s v="Kew"/>
  </r>
  <r>
    <s v="19/1100/FUL"/>
    <x v="1"/>
    <x v="0"/>
    <d v="2019-10-10T00:00:00"/>
    <d v="2022-10-10T00:00:00"/>
    <d v="2019-10-01T00:00:00"/>
    <d v="2020-01-31T00:00:00"/>
    <x v="0"/>
    <s v="Open Market"/>
    <x v="0"/>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s v="St. Margarets and North Twickenham"/>
  </r>
  <r>
    <s v="19/1217/ES191"/>
    <x v="2"/>
    <x v="0"/>
    <d v="2019-06-11T00:00:00"/>
    <d v="2019-06-11T00:00:00"/>
    <d v="2019-06-11T00:00:00"/>
    <d v="2019-06-11T00:00:00"/>
    <x v="0"/>
    <s v="Open Market"/>
    <x v="0"/>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s v="Twickenham Riverside"/>
  </r>
  <r>
    <s v="19/2022/ES191"/>
    <x v="2"/>
    <x v="0"/>
    <d v="2019-09-16T00:00:00"/>
    <d v="2022-09-17T00:00:00"/>
    <m/>
    <d v="2019-09-17T00:00:00"/>
    <x v="0"/>
    <s v="Open Market"/>
    <x v="0"/>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s v="Teddington"/>
  </r>
  <r>
    <s v="19/2544/FUL"/>
    <x v="1"/>
    <x v="0"/>
    <d v="2019-12-10T00:00:00"/>
    <d v="2022-12-10T00:00:00"/>
    <m/>
    <d v="2019-12-14T00:00:00"/>
    <x v="0"/>
    <s v="Open Market"/>
    <x v="0"/>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s v="Hampton North"/>
  </r>
  <r>
    <s v="19/3241/FUL"/>
    <x v="4"/>
    <x v="0"/>
    <d v="2020-03-13T00:00:00"/>
    <d v="2023-03-16T00:00:00"/>
    <d v="2020-03-16T00:00:00"/>
    <d v="2020-03-16T00:00:00"/>
    <x v="0"/>
    <s v="Open Market"/>
    <x v="0"/>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s v="West Twickenham"/>
  </r>
  <r>
    <s v="19/3586/ES191"/>
    <x v="1"/>
    <x v="0"/>
    <d v="2020-01-20T00:00:00"/>
    <d v="2020-01-20T00:00:00"/>
    <m/>
    <d v="2020-01-20T00:00:00"/>
    <x v="0"/>
    <s v="Open Market"/>
    <x v="0"/>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s v="Heathfield"/>
  </r>
  <r>
    <s v="19/3757/ES191"/>
    <x v="2"/>
    <x v="0"/>
    <d v="2020-01-31T00:00:00"/>
    <d v="2020-01-31T00:00:00"/>
    <m/>
    <d v="2020-01-31T00:00:00"/>
    <x v="0"/>
    <s v="Open Market"/>
    <x v="0"/>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s v="Twickenham Riverside"/>
  </r>
  <r>
    <s v="19/3854/ES191"/>
    <x v="1"/>
    <x v="0"/>
    <d v="2020-02-25T00:00:00"/>
    <d v="2020-02-25T00:00:00"/>
    <m/>
    <d v="2020-02-25T00:00:00"/>
    <x v="0"/>
    <s v="Open Market"/>
    <x v="0"/>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s v="Hampton"/>
  </r>
  <r>
    <s v="99/2063"/>
    <x v="0"/>
    <x v="0"/>
    <d v="2000-02-03T00:00:00"/>
    <d v="2005-02-03T00:00:00"/>
    <d v="2005-01-14T00:00:00"/>
    <d v="2019-07-18T00:00:00"/>
    <x v="0"/>
    <s v="Open Market"/>
    <x v="0"/>
    <s v="Proposed Dwelling House"/>
    <s v="6 Boileau Road Barnes"/>
    <m/>
    <m/>
    <m/>
    <m/>
    <m/>
    <m/>
    <m/>
    <m/>
    <m/>
    <n v="0"/>
    <m/>
    <n v="1"/>
    <m/>
    <m/>
    <m/>
    <m/>
    <m/>
    <m/>
    <n v="0"/>
    <n v="1"/>
    <n v="1"/>
    <n v="0"/>
    <n v="0"/>
    <n v="0"/>
    <n v="0"/>
    <n v="0"/>
    <n v="0"/>
    <n v="0"/>
    <n v="1"/>
    <m/>
    <n v="1"/>
    <n v="0"/>
    <n v="0"/>
    <n v="0"/>
    <n v="0"/>
    <n v="0"/>
    <m/>
    <m/>
    <m/>
    <m/>
    <m/>
    <n v="0"/>
    <n v="522457"/>
    <n v="177328"/>
    <s v="Barnes"/>
  </r>
  <r>
    <s v="13/0998/FUL"/>
    <x v="0"/>
    <x v="0"/>
    <d v="2013-11-05T00:00:00"/>
    <d v="2016-11-05T00:00:00"/>
    <d v="2016-08-14T00:00:00"/>
    <m/>
    <x v="1"/>
    <s v="Open Market"/>
    <x v="0"/>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s v="Fulwell and Hampton Hill"/>
  </r>
  <r>
    <s v="19/0637/FUL"/>
    <x v="0"/>
    <x v="0"/>
    <d v="2020-02-06T00:00:00"/>
    <d v="2023-02-06T00:00:00"/>
    <d v="2020-09-21T00:00:00"/>
    <m/>
    <x v="1"/>
    <s v="Open Market"/>
    <x v="0"/>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s v="Kew"/>
  </r>
  <r>
    <s v="19/2246/FUL"/>
    <x v="2"/>
    <x v="0"/>
    <d v="2019-10-22T00:00:00"/>
    <d v="2022-10-22T00:00:00"/>
    <m/>
    <d v="2020-06-15T00:00:00"/>
    <x v="1"/>
    <s v="Open Market"/>
    <x v="0"/>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s v="Teddington"/>
  </r>
  <r>
    <s v="07/3348/FUL"/>
    <x v="0"/>
    <x v="0"/>
    <d v="2008-04-01T00:00:00"/>
    <d v="2011-04-01T00:00:00"/>
    <d v="2012-08-17T00:00:00"/>
    <m/>
    <x v="1"/>
    <s v="Open Market"/>
    <x v="0"/>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s v="Ham, Petersham and Richmond Riverside"/>
  </r>
  <r>
    <s v="11/1443/FUL"/>
    <x v="0"/>
    <x v="0"/>
    <d v="2012-03-30T00:00:00"/>
    <d v="2015-03-30T00:00:00"/>
    <d v="2015-03-14T00:00:00"/>
    <m/>
    <x v="1"/>
    <s v="Open Market"/>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s v="St. Margarets and North Twickenham"/>
  </r>
  <r>
    <s v="13/1327/FUL"/>
    <x v="1"/>
    <x v="0"/>
    <d v="2013-09-03T00:00:00"/>
    <d v="2016-09-03T00:00:00"/>
    <d v="2016-08-19T00:00:00"/>
    <m/>
    <x v="1"/>
    <s v="Open Market"/>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s v="Ham, Petersham and Richmond Riverside"/>
  </r>
  <r>
    <s v="14/2118/FUL"/>
    <x v="2"/>
    <x v="0"/>
    <d v="2014-07-18T00:00:00"/>
    <d v="2018-01-19T00:00:00"/>
    <d v="2017-10-01T00:00:00"/>
    <m/>
    <x v="1"/>
    <s v="Open Market"/>
    <x v="0"/>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s v="East Sheen"/>
  </r>
  <r>
    <s v="14/2257/FUL"/>
    <x v="3"/>
    <x v="0"/>
    <d v="2015-03-26T00:00:00"/>
    <d v="2018-03-27T00:00:00"/>
    <d v="2016-06-01T00:00:00"/>
    <m/>
    <x v="1"/>
    <s v="Open Market"/>
    <x v="0"/>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s v="Heathfield"/>
  </r>
  <r>
    <s v="14/2797/P3JPA"/>
    <x v="1"/>
    <x v="1"/>
    <d v="2015-08-20T00:00:00"/>
    <d v="2017-11-27T00:00:00"/>
    <d v="2017-06-30T00:00:00"/>
    <m/>
    <x v="1"/>
    <s v="Open Market"/>
    <x v="0"/>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s v="South Twickenham"/>
  </r>
  <r>
    <s v="14/3011/FUL"/>
    <x v="1"/>
    <x v="0"/>
    <d v="2015-04-17T00:00:00"/>
    <d v="2018-04-20T00:00:00"/>
    <d v="2018-04-04T00:00:00"/>
    <m/>
    <x v="1"/>
    <s v="Open Market"/>
    <x v="0"/>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s v="Teddington"/>
  </r>
  <r>
    <s v="14/3780/FUL"/>
    <x v="3"/>
    <x v="0"/>
    <d v="2015-04-30T00:00:00"/>
    <d v="2018-04-30T00:00:00"/>
    <d v="2016-07-01T00:00:00"/>
    <m/>
    <x v="1"/>
    <s v="Open Market"/>
    <x v="0"/>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s v="South Richmond"/>
  </r>
  <r>
    <s v="14/4839/FUL"/>
    <x v="0"/>
    <x v="0"/>
    <d v="2016-07-14T00:00:00"/>
    <d v="2019-07-14T00:00:00"/>
    <d v="2019-06-01T00:00:00"/>
    <m/>
    <x v="1"/>
    <s v="Open Market"/>
    <x v="0"/>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s v="Twickenham Riverside"/>
  </r>
  <r>
    <s v="14/5284/FUL"/>
    <x v="2"/>
    <x v="0"/>
    <d v="2015-02-16T00:00:00"/>
    <d v="2018-02-16T00:00:00"/>
    <d v="2018-03-23T00:00:00"/>
    <m/>
    <x v="1"/>
    <s v="Open Market"/>
    <x v="0"/>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s v="South Richmond"/>
  </r>
  <r>
    <s v="14/5306/FUL"/>
    <x v="1"/>
    <x v="0"/>
    <d v="2015-06-22T00:00:00"/>
    <d v="2018-06-22T00:00:00"/>
    <d v="2017-05-01T00:00:00"/>
    <m/>
    <x v="1"/>
    <s v="Open Market"/>
    <x v="0"/>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s v="North Richmond"/>
  </r>
  <r>
    <s v="15/1486/FUL"/>
    <x v="0"/>
    <x v="0"/>
    <d v="2015-07-16T00:00:00"/>
    <d v="2018-07-16T00:00:00"/>
    <d v="2018-06-04T00:00:00"/>
    <m/>
    <x v="1"/>
    <s v="Open Market"/>
    <x v="0"/>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s v="Heathfield"/>
  </r>
  <r>
    <s v="15/2854/FUL"/>
    <x v="0"/>
    <x v="0"/>
    <d v="2016-06-02T00:00:00"/>
    <d v="2019-06-02T00:00:00"/>
    <d v="2019-05-01T00:00:00"/>
    <m/>
    <x v="1"/>
    <s v="Affordable Rent"/>
    <x v="0"/>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s v="Ham, Petersham and Richmond Riverside"/>
  </r>
  <r>
    <s v="15/2855/FUL"/>
    <x v="0"/>
    <x v="0"/>
    <d v="2016-06-02T00:00:00"/>
    <d v="2019-06-02T00:00:00"/>
    <d v="2019-05-28T00:00:00"/>
    <m/>
    <x v="1"/>
    <s v="Affordable Rent"/>
    <x v="0"/>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s v="Ham, Petersham and Richmond Riverside"/>
  </r>
  <r>
    <s v="15/2857/FUL"/>
    <x v="0"/>
    <x v="0"/>
    <d v="2016-11-17T00:00:00"/>
    <d v="2019-11-17T00:00:00"/>
    <d v="2019-10-16T00:00:00"/>
    <m/>
    <x v="1"/>
    <s v="Affordable Rent"/>
    <x v="0"/>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s v="Ham, Petersham and Richmond Riverside"/>
  </r>
  <r>
    <s v="15/3072/FUL"/>
    <x v="1"/>
    <x v="0"/>
    <d v="2016-10-07T00:00:00"/>
    <d v="2019-10-07T00:00:00"/>
    <d v="2018-03-01T00:00:00"/>
    <m/>
    <x v="1"/>
    <s v="Open Market"/>
    <x v="0"/>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s v="Teddington"/>
  </r>
  <r>
    <s v="15/3518/FUL"/>
    <x v="0"/>
    <x v="0"/>
    <d v="2019-03-08T00:00:00"/>
    <d v="2022-03-08T00:00:00"/>
    <d v="2019-10-01T00:00:00"/>
    <m/>
    <x v="1"/>
    <s v="Open Market"/>
    <x v="0"/>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s v="Twickenham Riverside"/>
  </r>
  <r>
    <s v="15/5217/NMA1"/>
    <x v="0"/>
    <x v="0"/>
    <d v="2019-10-11T00:00:00"/>
    <d v="2022-10-11T00:00:00"/>
    <d v="2019-10-16T00:00:00"/>
    <m/>
    <x v="1"/>
    <s v="Open Market"/>
    <x v="0"/>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s v="South Richmond"/>
  </r>
  <r>
    <s v="15/5351/FUL"/>
    <x v="0"/>
    <x v="0"/>
    <d v="2017-04-06T00:00:00"/>
    <d v="2020-04-07T00:00:00"/>
    <d v="2020-02-23T00:00:00"/>
    <m/>
    <x v="1"/>
    <s v="Open Market"/>
    <x v="0"/>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s v="West Twickenham"/>
  </r>
  <r>
    <s v="16/0058/FUL"/>
    <x v="1"/>
    <x v="0"/>
    <d v="2016-07-14T00:00:00"/>
    <d v="2019-07-14T00:00:00"/>
    <d v="2019-07-10T00:00:00"/>
    <m/>
    <x v="1"/>
    <s v="Open Market"/>
    <x v="0"/>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s v="South Richmond"/>
  </r>
  <r>
    <s v="16/0432/FUL"/>
    <x v="0"/>
    <x v="0"/>
    <d v="2016-08-31T00:00:00"/>
    <d v="2019-08-31T00:00:00"/>
    <d v="2017-05-09T00:00:00"/>
    <m/>
    <x v="1"/>
    <s v="Open Market"/>
    <x v="0"/>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s v="Barnes"/>
  </r>
  <r>
    <s v="16/0680/FUL"/>
    <x v="4"/>
    <x v="0"/>
    <d v="2016-04-19T00:00:00"/>
    <d v="2019-04-19T00:00:00"/>
    <d v="2016-07-01T00:00:00"/>
    <m/>
    <x v="1"/>
    <s v="Open Market"/>
    <x v="0"/>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s v="East Sheen"/>
  </r>
  <r>
    <s v="16/0905/FUL"/>
    <x v="0"/>
    <x v="0"/>
    <d v="2017-02-23T00:00:00"/>
    <d v="2020-02-23T00:00:00"/>
    <d v="2020-02-19T00:00:00"/>
    <m/>
    <x v="1"/>
    <s v="Open Market"/>
    <x v="0"/>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s v="Kew"/>
  </r>
  <r>
    <s v="16/1145/FUL"/>
    <x v="2"/>
    <x v="0"/>
    <d v="2016-12-15T00:00:00"/>
    <d v="2019-12-15T00:00:00"/>
    <d v="2019-02-01T00:00:00"/>
    <m/>
    <x v="1"/>
    <s v="Open Market"/>
    <x v="0"/>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s v="Hampton Wick"/>
  </r>
  <r>
    <s v="16/1373/FUL"/>
    <x v="1"/>
    <x v="0"/>
    <d v="2016-09-19T00:00:00"/>
    <d v="2019-09-19T00:00:00"/>
    <d v="2017-11-24T00:00:00"/>
    <m/>
    <x v="1"/>
    <s v="Open Market"/>
    <x v="0"/>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s v="South Richmond"/>
  </r>
  <r>
    <s v="16/1882/FUL"/>
    <x v="0"/>
    <x v="0"/>
    <d v="2017-05-30T00:00:00"/>
    <d v="2020-05-30T00:00:00"/>
    <d v="2019-04-01T00:00:00"/>
    <m/>
    <x v="1"/>
    <s v="Open Market"/>
    <x v="0"/>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s v="Barnes"/>
  </r>
  <r>
    <s v="16/1903/FUL"/>
    <x v="1"/>
    <x v="0"/>
    <d v="2016-11-15T00:00:00"/>
    <d v="2020-11-01T00:00:00"/>
    <d v="2019-01-14T00:00:00"/>
    <d v="2020-05-18T00:00:00"/>
    <x v="1"/>
    <s v="Open Market"/>
    <x v="0"/>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s v="Kew"/>
  </r>
  <r>
    <s v="16/2306/FUL"/>
    <x v="2"/>
    <x v="0"/>
    <d v="2016-08-17T00:00:00"/>
    <d v="2019-08-17T00:00:00"/>
    <d v="2019-01-14T00:00:00"/>
    <m/>
    <x v="1"/>
    <s v="Open Market"/>
    <x v="0"/>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s v="Ham, Petersham and Richmond Riverside"/>
  </r>
  <r>
    <s v="16/2637/FUL"/>
    <x v="0"/>
    <x v="0"/>
    <d v="2017-03-07T00:00:00"/>
    <d v="2020-03-07T00:00:00"/>
    <d v="2017-05-10T00:00:00"/>
    <m/>
    <x v="1"/>
    <s v="Open Market"/>
    <x v="0"/>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s v="Barnes"/>
  </r>
  <r>
    <s v="16/2647/FUL"/>
    <x v="0"/>
    <x v="0"/>
    <d v="2017-10-10T00:00:00"/>
    <d v="2020-10-10T00:00:00"/>
    <d v="2019-12-02T00:00:00"/>
    <m/>
    <x v="1"/>
    <s v="Intermediate"/>
    <x v="0"/>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s v="Teddington"/>
  </r>
  <r>
    <s v="16/2709/FUL"/>
    <x v="0"/>
    <x v="0"/>
    <d v="2017-04-10T00:00:00"/>
    <d v="2020-04-10T00:00:00"/>
    <d v="2020-03-22T00:00:00"/>
    <m/>
    <x v="1"/>
    <s v="Open Market"/>
    <x v="0"/>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s v="Barnes"/>
  </r>
  <r>
    <s v="16/3293/RES"/>
    <x v="0"/>
    <x v="0"/>
    <d v="2016-11-03T00:00:00"/>
    <d v="2019-11-03T00:00:00"/>
    <d v="2017-03-13T00:00:00"/>
    <m/>
    <x v="1"/>
    <s v="Affordable Rent"/>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s v="St. Margarets and North Twickenham"/>
  </r>
  <r>
    <s v="16/3293/RES"/>
    <x v="0"/>
    <x v="0"/>
    <d v="2016-11-03T00:00:00"/>
    <d v="2019-11-03T00:00:00"/>
    <d v="2017-03-13T00:00:00"/>
    <m/>
    <x v="1"/>
    <s v="Open Market"/>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s v="St. Margarets and North Twickenham"/>
  </r>
  <r>
    <s v="16/3293/RES"/>
    <x v="0"/>
    <x v="0"/>
    <d v="2016-11-03T00:00:00"/>
    <d v="2019-11-03T00:00:00"/>
    <d v="2017-03-13T00:00:00"/>
    <m/>
    <x v="1"/>
    <s v="Intermediate"/>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s v="St. Margarets and North Twickenham"/>
  </r>
  <r>
    <s v="16/3450/FUL"/>
    <x v="0"/>
    <x v="0"/>
    <d v="2017-10-16T00:00:00"/>
    <d v="2020-10-16T00:00:00"/>
    <d v="2018-09-03T00:00:00"/>
    <d v="2020-09-09T00:00:00"/>
    <x v="1"/>
    <s v="Open Market"/>
    <x v="0"/>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s v="South Twickenham"/>
  </r>
  <r>
    <s v="16/3506/FUL"/>
    <x v="0"/>
    <x v="0"/>
    <d v="2018-10-11T00:00:00"/>
    <d v="2021-10-11T00:00:00"/>
    <d v="2019-10-14T00:00:00"/>
    <m/>
    <x v="1"/>
    <s v="Affordable Rent"/>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s v="Whitton"/>
  </r>
  <r>
    <s v="16/3506/FUL"/>
    <x v="0"/>
    <x v="0"/>
    <d v="2018-10-11T00:00:00"/>
    <d v="2021-10-11T00:00:00"/>
    <d v="2019-10-14T00:00:00"/>
    <m/>
    <x v="1"/>
    <s v="Intermediate"/>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s v="Whitton"/>
  </r>
  <r>
    <s v="16/3506/FUL"/>
    <x v="0"/>
    <x v="0"/>
    <d v="2018-10-11T00:00:00"/>
    <d v="2021-10-11T00:00:00"/>
    <d v="2019-10-14T00:00:00"/>
    <m/>
    <x v="1"/>
    <s v="Social Rent"/>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s v="Whitton"/>
  </r>
  <r>
    <s v="16/3552/FUL"/>
    <x v="3"/>
    <x v="0"/>
    <d v="2018-04-24T00:00:00"/>
    <d v="2021-04-24T00:00:00"/>
    <d v="2018-04-25T00:00:00"/>
    <m/>
    <x v="1"/>
    <s v="Open Market"/>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s v="Ham, Petersham and Richmond Riverside"/>
  </r>
  <r>
    <s v="16/3625/FUL"/>
    <x v="0"/>
    <x v="0"/>
    <d v="2017-11-30T00:00:00"/>
    <d v="2020-11-30T00:00:00"/>
    <d v="2018-09-01T00:00:00"/>
    <m/>
    <x v="1"/>
    <s v="Open Market"/>
    <x v="0"/>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s v="Twickenham Riverside"/>
  </r>
  <r>
    <s v="16/3961/FUL"/>
    <x v="0"/>
    <x v="0"/>
    <d v="2017-02-20T00:00:00"/>
    <d v="2020-08-10T00:00:00"/>
    <d v="2019-01-14T00:00:00"/>
    <m/>
    <x v="1"/>
    <s v="Open Market"/>
    <x v="0"/>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s v="Mortlake and Barnes Common"/>
  </r>
  <r>
    <s v="16/4127/FUL"/>
    <x v="2"/>
    <x v="0"/>
    <d v="2017-12-04T00:00:00"/>
    <d v="2021-01-30T00:00:00"/>
    <d v="2019-03-01T00:00:00"/>
    <m/>
    <x v="1"/>
    <s v="Open Market"/>
    <x v="0"/>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s v="Teddington"/>
  </r>
  <r>
    <s v="16/4405/FUL"/>
    <x v="0"/>
    <x v="0"/>
    <d v="2017-03-27T00:00:00"/>
    <d v="2020-03-27T00:00:00"/>
    <d v="2017-09-01T00:00:00"/>
    <m/>
    <x v="1"/>
    <s v="Open Market"/>
    <x v="0"/>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s v="West Twickenham"/>
  </r>
  <r>
    <s v="16/4635/FUL"/>
    <x v="0"/>
    <x v="0"/>
    <d v="2017-03-07T00:00:00"/>
    <d v="2020-03-07T00:00:00"/>
    <d v="2020-03-01T00:00:00"/>
    <m/>
    <x v="1"/>
    <s v="Open Market"/>
    <x v="0"/>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s v="Whitton"/>
  </r>
  <r>
    <s v="16/4772/GPD15"/>
    <x v="1"/>
    <x v="1"/>
    <d v="2017-02-24T00:00:00"/>
    <d v="2020-12-21T00:00:00"/>
    <d v="2019-10-07T00:00:00"/>
    <m/>
    <x v="1"/>
    <s v="Open Market"/>
    <x v="0"/>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s v="Twickenham Riverside"/>
  </r>
  <r>
    <s v="16/4890/FUL"/>
    <x v="0"/>
    <x v="0"/>
    <d v="2017-09-08T00:00:00"/>
    <d v="2020-09-08T00:00:00"/>
    <d v="2019-03-30T00:00:00"/>
    <m/>
    <x v="1"/>
    <s v="Open Market"/>
    <x v="0"/>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s v="Kew"/>
  </r>
  <r>
    <s v="16/4902/FUL"/>
    <x v="0"/>
    <x v="0"/>
    <d v="2017-06-22T00:00:00"/>
    <d v="2021-11-12T00:00:00"/>
    <d v="2019-10-09T00:00:00"/>
    <m/>
    <x v="1"/>
    <s v="Open Market"/>
    <x v="0"/>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s v="South Richmond"/>
  </r>
  <r>
    <s v="17/0323/FUL"/>
    <x v="0"/>
    <x v="0"/>
    <d v="2018-03-22T00:00:00"/>
    <d v="2021-03-23T00:00:00"/>
    <d v="2020-03-31T00:00:00"/>
    <m/>
    <x v="1"/>
    <s v="Open Market"/>
    <x v="0"/>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s v="Fulwell and Hampton Hill"/>
  </r>
  <r>
    <s v="17/0330/FUL"/>
    <x v="0"/>
    <x v="0"/>
    <d v="2017-08-07T00:00:00"/>
    <d v="2020-08-07T00:00:00"/>
    <d v="2018-03-20T00:00:00"/>
    <m/>
    <x v="1"/>
    <s v="Open Market"/>
    <x v="0"/>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s v="Hampton Wick"/>
  </r>
  <r>
    <s v="17/1285/GPD15"/>
    <x v="1"/>
    <x v="1"/>
    <d v="2017-05-26T00:00:00"/>
    <d v="2021-12-08T00:00:00"/>
    <d v="2020-01-13T00:00:00"/>
    <m/>
    <x v="1"/>
    <s v="Open Market"/>
    <x v="0"/>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s v="Kew"/>
  </r>
  <r>
    <s v="17/1286/VRC"/>
    <x v="0"/>
    <x v="0"/>
    <d v="2017-10-05T00:00:00"/>
    <d v="2017-12-09T00:00:00"/>
    <d v="2017-10-05T00:00:00"/>
    <d v="2020-05-15T00:00:00"/>
    <x v="1"/>
    <s v="Open Market"/>
    <x v="0"/>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s v="Teddington"/>
  </r>
  <r>
    <s v="17/1453/FUL"/>
    <x v="1"/>
    <x v="0"/>
    <d v="2018-04-24T00:00:00"/>
    <d v="2021-04-24T00:00:00"/>
    <d v="2019-10-03T00:00:00"/>
    <m/>
    <x v="1"/>
    <s v="Open Market"/>
    <x v="0"/>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s v="South Twickenham"/>
  </r>
  <r>
    <s v="17/1937/FUL"/>
    <x v="1"/>
    <x v="0"/>
    <d v="2018-09-13T00:00:00"/>
    <d v="2021-09-13T00:00:00"/>
    <d v="2019-10-01T00:00:00"/>
    <m/>
    <x v="1"/>
    <s v="Open Market"/>
    <x v="0"/>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s v="South Twickenham"/>
  </r>
  <r>
    <s v="17/1996/FUL"/>
    <x v="0"/>
    <x v="0"/>
    <d v="2017-11-28T00:00:00"/>
    <d v="2020-11-28T00:00:00"/>
    <d v="2019-02-01T00:00:00"/>
    <m/>
    <x v="1"/>
    <s v="Open Market"/>
    <x v="0"/>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s v="North Richmond"/>
  </r>
  <r>
    <s v="17/2488/FUL"/>
    <x v="0"/>
    <x v="0"/>
    <d v="2017-08-25T00:00:00"/>
    <d v="2021-04-06T00:00:00"/>
    <d v="2018-12-01T00:00:00"/>
    <m/>
    <x v="1"/>
    <s v="Open Market"/>
    <x v="0"/>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s v="East Sheen"/>
  </r>
  <r>
    <s v="17/2769/FUL"/>
    <x v="0"/>
    <x v="0"/>
    <d v="2018-04-13T00:00:00"/>
    <d v="2021-04-13T00:00:00"/>
    <d v="2018-11-30T00:00:00"/>
    <m/>
    <x v="1"/>
    <s v="Open Market"/>
    <x v="0"/>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s v="Ham, Petersham and Richmond Riverside"/>
  </r>
  <r>
    <s v="17/2939/FUL"/>
    <x v="1"/>
    <x v="0"/>
    <d v="2017-11-09T00:00:00"/>
    <d v="2020-11-09T00:00:00"/>
    <d v="2018-09-04T00:00:00"/>
    <m/>
    <x v="1"/>
    <s v="Open Market"/>
    <x v="0"/>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s v="Mortlake and Barnes Common"/>
  </r>
  <r>
    <s v="17/3667/FUL"/>
    <x v="0"/>
    <x v="0"/>
    <d v="2018-04-25T00:00:00"/>
    <d v="2021-04-25T00:00:00"/>
    <d v="2020-03-02T00:00:00"/>
    <m/>
    <x v="1"/>
    <s v="Open Market"/>
    <x v="0"/>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s v="Ham, Petersham and Richmond Riverside"/>
  </r>
  <r>
    <s v="17/4268/FUL"/>
    <x v="0"/>
    <x v="0"/>
    <d v="2018-05-09T00:00:00"/>
    <d v="2021-05-09T00:00:00"/>
    <d v="2019-03-01T00:00:00"/>
    <m/>
    <x v="1"/>
    <s v="Open Market"/>
    <x v="0"/>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s v="Barnes"/>
  </r>
  <r>
    <s v="17/4303/FUL"/>
    <x v="4"/>
    <x v="0"/>
    <d v="2018-07-20T00:00:00"/>
    <d v="2021-07-20T00:00:00"/>
    <m/>
    <d v="2020-07-07T00:00:00"/>
    <x v="1"/>
    <s v="Open Market"/>
    <x v="0"/>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s v="Fulwell and Hampton Hill"/>
  </r>
  <r>
    <s v="17/4368/FUL"/>
    <x v="3"/>
    <x v="0"/>
    <d v="2019-03-06T00:00:00"/>
    <d v="2022-03-07T00:00:00"/>
    <d v="2019-09-02T00:00:00"/>
    <m/>
    <x v="1"/>
    <s v="Open Market"/>
    <x v="0"/>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s v="Hampton North"/>
  </r>
  <r>
    <s v="17/4517/VRC"/>
    <x v="0"/>
    <x v="0"/>
    <d v="2018-02-26T00:00:00"/>
    <d v="2021-02-26T00:00:00"/>
    <d v="2019-03-01T00:00:00"/>
    <d v="2020-08-13T00:00:00"/>
    <x v="1"/>
    <s v="Open Market"/>
    <x v="0"/>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s v="East Sheen"/>
  </r>
  <r>
    <s v="18/0111/FUL"/>
    <x v="0"/>
    <x v="0"/>
    <d v="2018-06-27T00:00:00"/>
    <d v="2021-06-27T00:00:00"/>
    <d v="2019-06-15T00:00:00"/>
    <d v="2020-07-01T00:00:00"/>
    <x v="1"/>
    <s v="Open Market"/>
    <x v="0"/>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s v="West Twickenham"/>
  </r>
  <r>
    <s v="18/0216/FUL"/>
    <x v="2"/>
    <x v="0"/>
    <d v="2018-12-05T00:00:00"/>
    <d v="2021-12-05T00:00:00"/>
    <d v="2019-11-11T00:00:00"/>
    <m/>
    <x v="1"/>
    <s v="Open Market"/>
    <x v="0"/>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s v="East Sheen"/>
  </r>
  <r>
    <s v="18/0282/FUL"/>
    <x v="0"/>
    <x v="0"/>
    <d v="2018-04-03T00:00:00"/>
    <d v="2021-04-03T00:00:00"/>
    <d v="2019-03-01T00:00:00"/>
    <m/>
    <x v="1"/>
    <s v="Open Market"/>
    <x v="0"/>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s v="Mortlake and Barnes Common"/>
  </r>
  <r>
    <s v="18/0449/FUL"/>
    <x v="2"/>
    <x v="0"/>
    <d v="2018-09-07T00:00:00"/>
    <d v="2021-09-07T00:00:00"/>
    <d v="2018-11-01T00:00:00"/>
    <m/>
    <x v="1"/>
    <s v="Open Market"/>
    <x v="0"/>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s v="Hampton"/>
  </r>
  <r>
    <s v="18/0692/FUL"/>
    <x v="0"/>
    <x v="0"/>
    <d v="2018-08-17T00:00:00"/>
    <d v="2021-08-17T00:00:00"/>
    <d v="2019-08-12T00:00:00"/>
    <m/>
    <x v="1"/>
    <s v="Open Market"/>
    <x v="0"/>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s v="Hampton"/>
  </r>
  <r>
    <s v="18/0771/FUL"/>
    <x v="0"/>
    <x v="0"/>
    <d v="2018-06-21T00:00:00"/>
    <d v="2021-06-21T00:00:00"/>
    <d v="2018-12-01T00:00:00"/>
    <m/>
    <x v="1"/>
    <s v="Open Market"/>
    <x v="0"/>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s v="Hampton North"/>
  </r>
  <r>
    <s v="18/0929/FUL"/>
    <x v="3"/>
    <x v="0"/>
    <d v="2018-11-07T00:00:00"/>
    <d v="2021-11-07T00:00:00"/>
    <d v="2018-12-03T00:00:00"/>
    <d v="2020-06-12T00:00:00"/>
    <x v="1"/>
    <s v="Open Market"/>
    <x v="0"/>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s v="Fulwell and Hampton Hill"/>
  </r>
  <r>
    <s v="18/0946/FUL"/>
    <x v="1"/>
    <x v="0"/>
    <d v="2018-06-04T00:00:00"/>
    <d v="2021-06-04T00:00:00"/>
    <d v="2020-01-13T00:00:00"/>
    <m/>
    <x v="1"/>
    <s v="Open Market"/>
    <x v="0"/>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s v="Kew"/>
  </r>
  <r>
    <s v="18/1619/FUL"/>
    <x v="4"/>
    <x v="0"/>
    <d v="2019-05-28T00:00:00"/>
    <d v="2022-05-28T00:00:00"/>
    <d v="2019-08-07T00:00:00"/>
    <d v="2020-05-12T00:00:00"/>
    <x v="1"/>
    <s v="Open Market"/>
    <x v="0"/>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s v="East Sheen"/>
  </r>
  <r>
    <s v="18/1767/FUL"/>
    <x v="1"/>
    <x v="0"/>
    <d v="2019-01-11T00:00:00"/>
    <d v="2022-01-11T00:00:00"/>
    <d v="2019-03-01T00:00:00"/>
    <d v="2020-05-11T00:00:00"/>
    <x v="1"/>
    <s v="Open Market"/>
    <x v="0"/>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s v="Fulwell and Hampton Hill"/>
  </r>
  <r>
    <s v="18/1808/FUL"/>
    <x v="0"/>
    <x v="0"/>
    <d v="2018-11-19T00:00:00"/>
    <d v="2021-11-19T00:00:00"/>
    <d v="2019-10-16T00:00:00"/>
    <m/>
    <x v="1"/>
    <s v="Open Market"/>
    <x v="0"/>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s v="Teddington"/>
  </r>
  <r>
    <s v="18/2114/FUL"/>
    <x v="1"/>
    <x v="0"/>
    <d v="2018-12-20T00:00:00"/>
    <d v="2021-12-20T00:00:00"/>
    <d v="2019-02-01T00:00:00"/>
    <d v="2020-05-04T00:00:00"/>
    <x v="1"/>
    <s v="Open Market"/>
    <x v="0"/>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s v="Mortlake and Barnes Common"/>
  </r>
  <r>
    <s v="18/2235/VRC"/>
    <x v="1"/>
    <x v="0"/>
    <d v="2018-09-25T00:00:00"/>
    <d v="2021-09-25T00:00:00"/>
    <d v="2019-10-01T00:00:00"/>
    <m/>
    <x v="1"/>
    <s v="Open Market"/>
    <x v="0"/>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s v="Hampton"/>
  </r>
  <r>
    <s v="18/2322/FUL"/>
    <x v="1"/>
    <x v="0"/>
    <d v="2018-11-13T00:00:00"/>
    <d v="2022-05-30T00:00:00"/>
    <d v="2020-01-13T00:00:00"/>
    <m/>
    <x v="1"/>
    <s v="Open Market"/>
    <x v="0"/>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s v="Kew"/>
  </r>
  <r>
    <s v="18/2494/FUL"/>
    <x v="0"/>
    <x v="0"/>
    <d v="2019-03-22T00:00:00"/>
    <d v="2022-03-22T00:00:00"/>
    <d v="2020-01-29T00:00:00"/>
    <m/>
    <x v="1"/>
    <s v="Open Market"/>
    <x v="0"/>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s v="East Sheen"/>
  </r>
  <r>
    <s v="18/2928/FUL"/>
    <x v="1"/>
    <x v="0"/>
    <d v="2019-03-08T00:00:00"/>
    <d v="2022-03-08T00:00:00"/>
    <d v="2019-03-29T00:00:00"/>
    <m/>
    <x v="1"/>
    <s v="Open Market"/>
    <x v="0"/>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s v="Teddington"/>
  </r>
  <r>
    <s v="18/3515/FUL"/>
    <x v="2"/>
    <x v="0"/>
    <d v="2019-02-18T00:00:00"/>
    <d v="2022-02-18T00:00:00"/>
    <d v="2019-10-01T00:00:00"/>
    <d v="2020-08-13T00:00:00"/>
    <x v="1"/>
    <s v="Open Market"/>
    <x v="0"/>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s v="East Sheen"/>
  </r>
  <r>
    <s v="18/3768/FUL"/>
    <x v="1"/>
    <x v="0"/>
    <d v="2019-03-26T00:00:00"/>
    <d v="2022-03-26T00:00:00"/>
    <d v="2020-01-13T00:00:00"/>
    <m/>
    <x v="1"/>
    <s v="Open Market"/>
    <x v="0"/>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s v="Hampton"/>
  </r>
  <r>
    <s v="18/3804/FUL"/>
    <x v="0"/>
    <x v="0"/>
    <d v="2019-05-14T00:00:00"/>
    <d v="2022-05-14T00:00:00"/>
    <d v="2019-10-17T00:00:00"/>
    <m/>
    <x v="1"/>
    <s v="Open Market"/>
    <x v="0"/>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s v="Hampton"/>
  </r>
  <r>
    <s v="18/3815/GPD15"/>
    <x v="1"/>
    <x v="1"/>
    <d v="2019-01-18T00:00:00"/>
    <d v="2022-01-18T00:00:00"/>
    <d v="2019-11-15T00:00:00"/>
    <m/>
    <x v="1"/>
    <s v="Open Market"/>
    <x v="0"/>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s v="Hampton Wick"/>
  </r>
  <r>
    <s v="18/3941/GPD15"/>
    <x v="1"/>
    <x v="1"/>
    <d v="2019-01-30T00:00:00"/>
    <d v="2022-01-30T00:00:00"/>
    <d v="2019-09-14T00:00:00"/>
    <d v="2020-09-02T00:00:00"/>
    <x v="1"/>
    <s v="Open Market"/>
    <x v="0"/>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s v="Kew"/>
  </r>
  <r>
    <s v="19/0092/FUL"/>
    <x v="3"/>
    <x v="0"/>
    <d v="2019-07-03T00:00:00"/>
    <d v="2022-07-03T00:00:00"/>
    <d v="2019-08-14T00:00:00"/>
    <d v="2020-09-15T00:00:00"/>
    <x v="1"/>
    <s v="Open Market"/>
    <x v="0"/>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s v="Whitton"/>
  </r>
  <r>
    <s v="19/0111/FUL"/>
    <x v="3"/>
    <x v="0"/>
    <d v="2019-12-12T00:00:00"/>
    <d v="2022-12-12T00:00:00"/>
    <d v="2020-03-30T00:00:00"/>
    <m/>
    <x v="1"/>
    <s v="Open Market"/>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s v="Hampton Wick"/>
  </r>
  <r>
    <s v="19/0181/GPD15"/>
    <x v="1"/>
    <x v="1"/>
    <d v="2019-03-06T00:00:00"/>
    <d v="2022-03-06T00:00:00"/>
    <d v="2019-05-13T00:00:00"/>
    <d v="2020-07-02T00:00:00"/>
    <x v="1"/>
    <s v="Open Market"/>
    <x v="0"/>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s v="East Sheen"/>
  </r>
  <r>
    <s v="19/0347/GPD15"/>
    <x v="1"/>
    <x v="1"/>
    <d v="2019-03-12T00:00:00"/>
    <d v="2022-03-13T00:00:00"/>
    <d v="2019-04-01T00:00:00"/>
    <m/>
    <x v="1"/>
    <s v="Open Market"/>
    <x v="0"/>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s v="South Twickenham"/>
  </r>
  <r>
    <s v="19/0386/FUL"/>
    <x v="0"/>
    <x v="0"/>
    <d v="2019-07-05T00:00:00"/>
    <d v="2022-07-05T00:00:00"/>
    <d v="2020-01-06T00:00:00"/>
    <m/>
    <x v="1"/>
    <s v="Open Market"/>
    <x v="0"/>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s v="Whitton"/>
  </r>
  <r>
    <s v="19/0551/FUL"/>
    <x v="2"/>
    <x v="0"/>
    <d v="2019-08-21T00:00:00"/>
    <d v="2022-08-21T00:00:00"/>
    <d v="2019-11-04T00:00:00"/>
    <m/>
    <x v="1"/>
    <s v="Open Market"/>
    <x v="0"/>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s v="North Richmond"/>
  </r>
  <r>
    <s v="19/0772/GPD15"/>
    <x v="1"/>
    <x v="1"/>
    <d v="2019-05-09T00:00:00"/>
    <d v="2022-05-09T00:00:00"/>
    <d v="2020-03-02T00:00:00"/>
    <m/>
    <x v="1"/>
    <s v="Open Market"/>
    <x v="0"/>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s v="West Twickenham"/>
  </r>
  <r>
    <s v="19/0867/FUL"/>
    <x v="3"/>
    <x v="0"/>
    <d v="2019-06-03T00:00:00"/>
    <d v="2022-06-04T00:00:00"/>
    <d v="2019-09-23T00:00:00"/>
    <d v="2020-06-04T00:00:00"/>
    <x v="1"/>
    <s v="Open Market"/>
    <x v="0"/>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s v="St. Margarets and North Twickenham"/>
  </r>
  <r>
    <s v="19/0893/FUL"/>
    <x v="1"/>
    <x v="0"/>
    <d v="2019-08-12T00:00:00"/>
    <d v="2022-08-12T00:00:00"/>
    <d v="2020-02-03T00:00:00"/>
    <m/>
    <x v="1"/>
    <s v="Open Market"/>
    <x v="0"/>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s v="Kew"/>
  </r>
  <r>
    <s v="19/0950/FUL"/>
    <x v="1"/>
    <x v="0"/>
    <d v="2019-08-13T00:00:00"/>
    <d v="2022-08-13T00:00:00"/>
    <d v="2020-01-28T00:00:00"/>
    <m/>
    <x v="1"/>
    <s v="Open Market"/>
    <x v="0"/>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s v="South Richmond"/>
  </r>
  <r>
    <s v="19/0954/VRC"/>
    <x v="0"/>
    <x v="0"/>
    <d v="2019-10-16T00:00:00"/>
    <d v="2020-10-06T00:00:00"/>
    <d v="2019-07-24T00:00:00"/>
    <m/>
    <x v="1"/>
    <s v="Open Market"/>
    <x v="0"/>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s v="South Richmond"/>
  </r>
  <r>
    <s v="19/0974/FUL"/>
    <x v="2"/>
    <x v="0"/>
    <d v="2019-08-02T00:00:00"/>
    <d v="2022-08-02T00:00:00"/>
    <d v="2020-02-11T00:00:00"/>
    <m/>
    <x v="1"/>
    <s v="Open Market"/>
    <x v="0"/>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s v="Hampton Wick"/>
  </r>
  <r>
    <s v="19/1332/GPD13"/>
    <x v="1"/>
    <x v="1"/>
    <d v="2019-07-11T00:00:00"/>
    <d v="2022-07-11T00:00:00"/>
    <d v="2019-08-01T00:00:00"/>
    <d v="2020-06-05T00:00:00"/>
    <x v="1"/>
    <s v="Open Market"/>
    <x v="0"/>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s v="Whitton"/>
  </r>
  <r>
    <s v="19/1455/FUL"/>
    <x v="2"/>
    <x v="0"/>
    <d v="2019-08-06T00:00:00"/>
    <d v="2022-08-06T00:00:00"/>
    <d v="2020-01-16T00:00:00"/>
    <m/>
    <x v="1"/>
    <s v="Open Market"/>
    <x v="0"/>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s v="East Sheen"/>
  </r>
  <r>
    <s v="19/1502/FUL"/>
    <x v="1"/>
    <x v="0"/>
    <d v="2019-07-22T00:00:00"/>
    <d v="2022-07-22T00:00:00"/>
    <d v="2019-09-19T00:00:00"/>
    <d v="2020-07-30T00:00:00"/>
    <x v="1"/>
    <s v="Open Market"/>
    <x v="0"/>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s v="Mortlake and Barnes Common"/>
  </r>
  <r>
    <s v="19/1620/GPD15"/>
    <x v="1"/>
    <x v="1"/>
    <d v="2019-07-26T00:00:00"/>
    <d v="2021-04-03T00:00:00"/>
    <m/>
    <d v="2020-04-20T00:00:00"/>
    <x v="1"/>
    <s v="Open Market"/>
    <x v="0"/>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s v="North Richmond"/>
  </r>
  <r>
    <s v="19/1622/FUL"/>
    <x v="1"/>
    <x v="0"/>
    <d v="2019-10-18T00:00:00"/>
    <d v="2022-10-18T00:00:00"/>
    <d v="2020-03-31T00:00:00"/>
    <m/>
    <x v="1"/>
    <s v="Open Market"/>
    <x v="0"/>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s v="West Twickenham"/>
  </r>
  <r>
    <s v="19/1978/FUL"/>
    <x v="2"/>
    <x v="0"/>
    <d v="2019-11-11T00:00:00"/>
    <d v="2022-11-11T00:00:00"/>
    <d v="2019-11-18T00:00:00"/>
    <m/>
    <x v="1"/>
    <s v="Open Market"/>
    <x v="0"/>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s v="South Richmond"/>
  </r>
  <r>
    <s v="19/2377/GPD15"/>
    <x v="1"/>
    <x v="1"/>
    <d v="2019-09-30T00:00:00"/>
    <d v="2022-09-30T00:00:00"/>
    <d v="2020-02-17T00:00:00"/>
    <m/>
    <x v="1"/>
    <s v="Open Market"/>
    <x v="0"/>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s v="St. Margarets and North Twickenham"/>
  </r>
  <r>
    <s v="19/3852/GPD15"/>
    <x v="1"/>
    <x v="1"/>
    <d v="2020-02-06T00:00:00"/>
    <d v="2023-02-06T00:00:00"/>
    <d v="2020-02-10T00:00:00"/>
    <m/>
    <x v="1"/>
    <s v="Open Market"/>
    <x v="0"/>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s v="Mortlake and Barnes Common"/>
  </r>
  <r>
    <s v="19/3913/GPD15"/>
    <x v="1"/>
    <x v="1"/>
    <d v="2020-02-14T00:00:00"/>
    <d v="2020-06-30T00:00:00"/>
    <d v="2020-03-02T00:00:00"/>
    <m/>
    <x v="1"/>
    <s v="Open Market"/>
    <x v="0"/>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s v="St. Margarets and North Twickenham"/>
  </r>
  <r>
    <s v="19/1669/FUL"/>
    <x v="1"/>
    <x v="0"/>
    <d v="2019-08-23T00:00:00"/>
    <d v="2022-08-23T00:00:00"/>
    <d v="2019-11-11T00:00:00"/>
    <m/>
    <x v="1"/>
    <s v="Open Market"/>
    <x v="0"/>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s v="Ham, Petersham and Richmond Riverside"/>
  </r>
  <r>
    <s v="15/2204/FUL"/>
    <x v="0"/>
    <x v="0"/>
    <d v="2018-07-03T00:00:00"/>
    <d v="2021-07-03T00:00:00"/>
    <m/>
    <m/>
    <x v="2"/>
    <s v="Open Market"/>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s v="Whitton"/>
  </r>
  <r>
    <s v="15/3296/FUL"/>
    <x v="0"/>
    <x v="0"/>
    <d v="2019-08-13T00:00:00"/>
    <d v="2022-08-13T00:00:00"/>
    <m/>
    <m/>
    <x v="2"/>
    <s v="Affordable Rent"/>
    <x v="0"/>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s v="Hampton Wick"/>
  </r>
  <r>
    <s v="15/3297/FUL"/>
    <x v="0"/>
    <x v="0"/>
    <d v="2019-08-13T00:00:00"/>
    <d v="2022-08-13T00:00:00"/>
    <m/>
    <m/>
    <x v="2"/>
    <s v="Affordable Rent"/>
    <x v="0"/>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s v="Hampton Wick"/>
  </r>
  <r>
    <s v="15/4581/FUL"/>
    <x v="0"/>
    <x v="0"/>
    <d v="2018-04-23T00:00:00"/>
    <d v="2021-04-23T00:00:00"/>
    <m/>
    <m/>
    <x v="2"/>
    <s v="Open Market"/>
    <x v="0"/>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s v="Hampton"/>
  </r>
  <r>
    <s v="15/4586/FUL"/>
    <x v="0"/>
    <x v="0"/>
    <d v="2017-07-11T00:00:00"/>
    <d v="2020-07-11T00:00:00"/>
    <m/>
    <m/>
    <x v="2"/>
    <s v="Open Market"/>
    <x v="0"/>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s v="South Twickenham"/>
  </r>
  <r>
    <s v="16/0510/FUL"/>
    <x v="1"/>
    <x v="0"/>
    <d v="2018-07-19T00:00:00"/>
    <d v="2021-07-19T00:00:00"/>
    <m/>
    <m/>
    <x v="2"/>
    <s v="Open Market"/>
    <x v="0"/>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s v="South Richmond"/>
  </r>
  <r>
    <s v="16/0606/FUL"/>
    <x v="3"/>
    <x v="0"/>
    <d v="2017-09-05T00:00:00"/>
    <d v="2020-09-05T00:00:00"/>
    <m/>
    <m/>
    <x v="2"/>
    <s v="Open Market"/>
    <x v="0"/>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s v="Hampton"/>
  </r>
  <r>
    <s v="16/0647/FUL"/>
    <x v="0"/>
    <x v="0"/>
    <d v="2017-05-30T00:00:00"/>
    <d v="2021-04-16T00:00:00"/>
    <m/>
    <m/>
    <x v="2"/>
    <s v="Open Market"/>
    <x v="0"/>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s v="Hampton Wick"/>
  </r>
  <r>
    <s v="16/2288/FUL"/>
    <x v="4"/>
    <x v="0"/>
    <d v="2018-08-22T00:00:00"/>
    <d v="2021-08-22T00:00:00"/>
    <d v="2020-09-15T00:00:00"/>
    <m/>
    <x v="2"/>
    <s v="Open Market"/>
    <x v="0"/>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s v="Fulwell and Hampton Hill"/>
  </r>
  <r>
    <s v="16/2704/FUL"/>
    <x v="0"/>
    <x v="0"/>
    <d v="2018-01-25T00:00:00"/>
    <d v="2021-01-25T00:00:00"/>
    <m/>
    <m/>
    <x v="2"/>
    <s v="Open Market"/>
    <x v="0"/>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s v="South Richmond"/>
  </r>
  <r>
    <s v="16/2736/FUL"/>
    <x v="0"/>
    <x v="0"/>
    <d v="2017-05-26T00:00:00"/>
    <d v="2020-05-26T00:00:00"/>
    <m/>
    <m/>
    <x v="2"/>
    <s v="Open Market"/>
    <x v="0"/>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s v="Ham, Petersham and Richmond Riverside"/>
  </r>
  <r>
    <s v="16/2822/FUL"/>
    <x v="4"/>
    <x v="0"/>
    <d v="2017-05-11T00:00:00"/>
    <d v="2020-05-11T00:00:00"/>
    <m/>
    <m/>
    <x v="2"/>
    <s v="Open Market"/>
    <x v="0"/>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s v="West Twickenham"/>
  </r>
  <r>
    <s v="16/4384/FUL"/>
    <x v="0"/>
    <x v="0"/>
    <d v="2017-10-27T00:00:00"/>
    <d v="2020-10-27T00:00:00"/>
    <m/>
    <m/>
    <x v="2"/>
    <s v="Open Market"/>
    <x v="0"/>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s v="Mortlake and Barnes Common"/>
  </r>
  <r>
    <s v="16/4553/FUL"/>
    <x v="0"/>
    <x v="0"/>
    <d v="2018-05-31T00:00:00"/>
    <d v="2021-05-31T00:00:00"/>
    <m/>
    <m/>
    <x v="2"/>
    <s v="Open Market"/>
    <x v="1"/>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s v="Fulwell and Hampton Hill"/>
  </r>
  <r>
    <s v="16/4587/FUL"/>
    <x v="1"/>
    <x v="0"/>
    <d v="2017-06-27T00:00:00"/>
    <d v="2020-06-27T00:00:00"/>
    <d v="2020-06-02T00:00:00"/>
    <m/>
    <x v="2"/>
    <s v="Open Market"/>
    <x v="0"/>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s v="East Sheen"/>
  </r>
  <r>
    <s v="17/0315/FUL"/>
    <x v="3"/>
    <x v="0"/>
    <d v="2018-06-12T00:00:00"/>
    <d v="2021-06-12T00:00:00"/>
    <m/>
    <m/>
    <x v="2"/>
    <s v="Open Market"/>
    <x v="0"/>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s v="Twickenham Riverside"/>
  </r>
  <r>
    <s v="17/0341/GPD13"/>
    <x v="1"/>
    <x v="1"/>
    <d v="2017-04-24T00:00:00"/>
    <d v="2020-04-24T00:00:00"/>
    <m/>
    <m/>
    <x v="2"/>
    <s v="Open Market"/>
    <x v="0"/>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s v="Teddington"/>
  </r>
  <r>
    <s v="17/0346/FUL"/>
    <x v="2"/>
    <x v="0"/>
    <d v="2017-08-31T00:00:00"/>
    <d v="2020-08-31T00:00:00"/>
    <m/>
    <m/>
    <x v="2"/>
    <s v="Open Market"/>
    <x v="0"/>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s v="North Richmond"/>
  </r>
  <r>
    <s v="17/0600/FUL"/>
    <x v="1"/>
    <x v="0"/>
    <d v="2018-01-19T00:00:00"/>
    <d v="2021-01-19T00:00:00"/>
    <m/>
    <m/>
    <x v="2"/>
    <s v="Open Market"/>
    <x v="0"/>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s v="Twickenham Riverside"/>
  </r>
  <r>
    <s v="17/0788/FUL"/>
    <x v="0"/>
    <x v="0"/>
    <d v="2017-11-17T00:00:00"/>
    <d v="2021-01-08T00:00:00"/>
    <m/>
    <m/>
    <x v="2"/>
    <s v="Open Market"/>
    <x v="0"/>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s v="Teddington"/>
  </r>
  <r>
    <s v="17/0798/FUL"/>
    <x v="0"/>
    <x v="0"/>
    <d v="2017-12-01T00:00:00"/>
    <d v="2020-12-01T00:00:00"/>
    <m/>
    <m/>
    <x v="2"/>
    <s v="Open Market"/>
    <x v="0"/>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s v="Whitton"/>
  </r>
  <r>
    <s v="17/1033/FUL"/>
    <x v="0"/>
    <x v="0"/>
    <d v="2017-09-19T00:00:00"/>
    <d v="2021-05-23T00:00:00"/>
    <m/>
    <m/>
    <x v="2"/>
    <s v="Open Market"/>
    <x v="0"/>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s v="South Twickenham"/>
  </r>
  <r>
    <s v="17/1139/GPD15"/>
    <x v="1"/>
    <x v="1"/>
    <d v="2017-05-31T00:00:00"/>
    <d v="2020-05-31T00:00:00"/>
    <m/>
    <m/>
    <x v="2"/>
    <s v="Open Market"/>
    <x v="0"/>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s v="Twickenham Riverside"/>
  </r>
  <r>
    <s v="17/1390/FUL"/>
    <x v="0"/>
    <x v="0"/>
    <d v="2018-11-15T00:00:00"/>
    <d v="2022-05-14T00:00:00"/>
    <m/>
    <m/>
    <x v="2"/>
    <s v="Open Market"/>
    <x v="0"/>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s v="St. Margarets and North Twickenham"/>
  </r>
  <r>
    <s v="17/1550/FUL"/>
    <x v="0"/>
    <x v="0"/>
    <d v="2018-07-09T00:00:00"/>
    <d v="2021-07-09T00:00:00"/>
    <m/>
    <m/>
    <x v="2"/>
    <s v="Open Market"/>
    <x v="0"/>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s v="Hampton Wick"/>
  </r>
  <r>
    <s v="17/1782/FUL"/>
    <x v="0"/>
    <x v="0"/>
    <d v="2019-01-14T00:00:00"/>
    <d v="2022-01-14T00:00:00"/>
    <m/>
    <m/>
    <x v="2"/>
    <s v="Open Market"/>
    <x v="0"/>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s v="Hampton Wick"/>
  </r>
  <r>
    <s v="17/2314/FUL"/>
    <x v="0"/>
    <x v="0"/>
    <d v="2018-04-26T00:00:00"/>
    <d v="2021-04-26T00:00:00"/>
    <m/>
    <m/>
    <x v="2"/>
    <s v="Open Market"/>
    <x v="0"/>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s v="Hampton North"/>
  </r>
  <r>
    <s v="17/2532/GPD15"/>
    <x v="1"/>
    <x v="1"/>
    <d v="2017-08-09T00:00:00"/>
    <d v="2020-08-09T00:00:00"/>
    <d v="2020-06-01T00:00:00"/>
    <m/>
    <x v="2"/>
    <s v="Open Market"/>
    <x v="0"/>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s v="Kew"/>
  </r>
  <r>
    <s v="17/2586/FUL"/>
    <x v="2"/>
    <x v="0"/>
    <d v="2017-09-27T00:00:00"/>
    <d v="2020-09-27T00:00:00"/>
    <m/>
    <m/>
    <x v="2"/>
    <s v="Open Market"/>
    <x v="0"/>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s v="East Sheen"/>
  </r>
  <r>
    <s v="17/2597/GPD15"/>
    <x v="1"/>
    <x v="1"/>
    <d v="2017-08-30T00:00:00"/>
    <d v="2020-08-30T00:00:00"/>
    <m/>
    <m/>
    <x v="2"/>
    <s v="Open Market"/>
    <x v="0"/>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s v="East Sheen"/>
  </r>
  <r>
    <s v="17/2680/FUL"/>
    <x v="0"/>
    <x v="0"/>
    <d v="2017-12-11T00:00:00"/>
    <d v="2021-03-14T00:00:00"/>
    <d v="2020-06-01T00:00:00"/>
    <m/>
    <x v="2"/>
    <s v="Open Market"/>
    <x v="0"/>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s v="Hampton"/>
  </r>
  <r>
    <s v="17/2693/GPD15"/>
    <x v="1"/>
    <x v="1"/>
    <d v="2017-09-08T00:00:00"/>
    <d v="2020-09-08T00:00:00"/>
    <m/>
    <m/>
    <x v="2"/>
    <s v="Open Market"/>
    <x v="0"/>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s v="East Sheen"/>
  </r>
  <r>
    <s v="17/2872/FUL"/>
    <x v="0"/>
    <x v="0"/>
    <d v="2019-05-30T00:00:00"/>
    <d v="2022-05-20T00:00:00"/>
    <m/>
    <m/>
    <x v="2"/>
    <s v="Open Market"/>
    <x v="0"/>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s v="Hampton"/>
  </r>
  <r>
    <s v="17/2957/FUL"/>
    <x v="2"/>
    <x v="0"/>
    <d v="2017-12-20T00:00:00"/>
    <d v="2020-12-20T00:00:00"/>
    <m/>
    <m/>
    <x v="2"/>
    <s v="Open Market"/>
    <x v="0"/>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s v="Fulwell and Hampton Hill"/>
  </r>
  <r>
    <s v="17/3001/GPD16"/>
    <x v="1"/>
    <x v="1"/>
    <d v="2017-09-27T00:00:00"/>
    <d v="2021-06-07T00:00:00"/>
    <m/>
    <m/>
    <x v="2"/>
    <s v="Open Market"/>
    <x v="0"/>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s v="Teddington"/>
  </r>
  <r>
    <s v="17/3003/GPD16"/>
    <x v="1"/>
    <x v="1"/>
    <d v="2017-09-27T00:00:00"/>
    <d v="2021-06-07T00:00:00"/>
    <m/>
    <m/>
    <x v="2"/>
    <s v="Open Market"/>
    <x v="0"/>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s v="Teddington"/>
  </r>
  <r>
    <s v="17/3054/FUL"/>
    <x v="0"/>
    <x v="0"/>
    <d v="2018-10-30T00:00:00"/>
    <d v="2021-10-30T00:00:00"/>
    <m/>
    <m/>
    <x v="2"/>
    <s v="Open Market"/>
    <x v="0"/>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s v="Twickenham Riverside"/>
  </r>
  <r>
    <s v="17/3077/FUL"/>
    <x v="0"/>
    <x v="0"/>
    <d v="2018-03-15T00:00:00"/>
    <d v="2021-03-15T00:00:00"/>
    <d v="2020-05-04T00:00:00"/>
    <m/>
    <x v="2"/>
    <s v="Open Market"/>
    <x v="0"/>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s v="Twickenham Riverside"/>
  </r>
  <r>
    <s v="17/3265/FUL"/>
    <x v="0"/>
    <x v="0"/>
    <d v="2018-01-15T00:00:00"/>
    <d v="2021-01-15T00:00:00"/>
    <m/>
    <m/>
    <x v="2"/>
    <s v="Open Market"/>
    <x v="0"/>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s v="Barnes"/>
  </r>
  <r>
    <s v="17/3402/GPD16"/>
    <x v="1"/>
    <x v="1"/>
    <d v="2017-11-03T00:00:00"/>
    <d v="2020-11-03T00:00:00"/>
    <m/>
    <m/>
    <x v="2"/>
    <s v="Open Market"/>
    <x v="0"/>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s v="Teddington"/>
  </r>
  <r>
    <s v="17/3404/FUL"/>
    <x v="1"/>
    <x v="0"/>
    <d v="2018-02-01T00:00:00"/>
    <d v="2021-02-02T00:00:00"/>
    <m/>
    <m/>
    <x v="2"/>
    <s v="Open Market"/>
    <x v="0"/>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s v="Fulwell and Hampton Hill"/>
  </r>
  <r>
    <s v="17/3590/FUL"/>
    <x v="0"/>
    <x v="0"/>
    <d v="2018-07-26T00:00:00"/>
    <d v="2021-07-26T00:00:00"/>
    <m/>
    <m/>
    <x v="2"/>
    <s v="Open Market"/>
    <x v="0"/>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s v="Fulwell and Hampton Hill"/>
  </r>
  <r>
    <s v="17/3610/FUL"/>
    <x v="3"/>
    <x v="0"/>
    <d v="2018-03-23T00:00:00"/>
    <d v="2021-03-23T00:00:00"/>
    <m/>
    <m/>
    <x v="2"/>
    <s v="Open Market"/>
    <x v="0"/>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s v="Barnes"/>
  </r>
  <r>
    <s v="17/3696/GPD16"/>
    <x v="1"/>
    <x v="1"/>
    <d v="2017-12-22T00:00:00"/>
    <d v="2020-12-22T00:00:00"/>
    <m/>
    <m/>
    <x v="2"/>
    <s v="Open Market"/>
    <x v="0"/>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s v="East Sheen"/>
  </r>
  <r>
    <s v="17/3795/GPD15"/>
    <x v="1"/>
    <x v="1"/>
    <d v="2017-12-11T00:00:00"/>
    <d v="2020-12-11T00:00:00"/>
    <m/>
    <m/>
    <x v="2"/>
    <s v="Open Market"/>
    <x v="0"/>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s v="Teddington"/>
  </r>
  <r>
    <s v="17/4005/FUL"/>
    <x v="3"/>
    <x v="0"/>
    <d v="2020-03-05T00:00:00"/>
    <d v="2023-03-05T00:00:00"/>
    <m/>
    <m/>
    <x v="2"/>
    <s v="Open Market"/>
    <x v="0"/>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s v="South Richmond"/>
  </r>
  <r>
    <s v="17/4014/FUL"/>
    <x v="1"/>
    <x v="0"/>
    <d v="2018-11-30T00:00:00"/>
    <d v="2022-03-19T00:00:00"/>
    <m/>
    <m/>
    <x v="2"/>
    <s v="Open Market"/>
    <x v="0"/>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s v="South Twickenham"/>
  </r>
  <r>
    <s v="17/4015/FUL"/>
    <x v="0"/>
    <x v="0"/>
    <d v="2018-10-03T00:00:00"/>
    <d v="2021-10-03T00:00:00"/>
    <m/>
    <m/>
    <x v="2"/>
    <s v="Open Market"/>
    <x v="0"/>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s v="South Richmond"/>
  </r>
  <r>
    <s v="17/4114/PS192"/>
    <x v="1"/>
    <x v="1"/>
    <d v="2017-12-28T00:00:00"/>
    <d v="2020-12-28T00:00:00"/>
    <m/>
    <m/>
    <x v="2"/>
    <s v="Open Market"/>
    <x v="0"/>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s v="Teddington"/>
  </r>
  <r>
    <s v="17/4122/FUL"/>
    <x v="0"/>
    <x v="0"/>
    <d v="2018-12-21T00:00:00"/>
    <d v="2021-12-21T00:00:00"/>
    <m/>
    <m/>
    <x v="2"/>
    <s v="Open Market"/>
    <x v="0"/>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s v="Mortlake and Barnes Common"/>
  </r>
  <r>
    <s v="17/4292/FUL"/>
    <x v="4"/>
    <x v="0"/>
    <d v="2018-01-25T00:00:00"/>
    <d v="2021-01-25T00:00:00"/>
    <m/>
    <m/>
    <x v="2"/>
    <s v="Open Market"/>
    <x v="0"/>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s v="North Richmond"/>
  </r>
  <r>
    <s v="17/4344/FUL"/>
    <x v="1"/>
    <x v="0"/>
    <d v="2018-03-09T00:00:00"/>
    <d v="2021-03-09T00:00:00"/>
    <m/>
    <m/>
    <x v="2"/>
    <s v="Open Market"/>
    <x v="0"/>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s v="South Richmond"/>
  </r>
  <r>
    <s v="17/4422/GPD15"/>
    <x v="1"/>
    <x v="1"/>
    <d v="2018-02-05T00:00:00"/>
    <d v="2021-02-05T00:00:00"/>
    <m/>
    <m/>
    <x v="2"/>
    <s v="Open Market"/>
    <x v="0"/>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s v="Teddington"/>
  </r>
  <r>
    <s v="17/4453/FUL"/>
    <x v="3"/>
    <x v="0"/>
    <d v="2018-05-10T00:00:00"/>
    <d v="2021-05-10T00:00:00"/>
    <m/>
    <m/>
    <x v="2"/>
    <s v="Open Market"/>
    <x v="0"/>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s v="Kew"/>
  </r>
  <r>
    <s v="17/4477/FUL"/>
    <x v="2"/>
    <x v="0"/>
    <d v="2019-05-23T00:00:00"/>
    <d v="2022-05-23T00:00:00"/>
    <m/>
    <m/>
    <x v="2"/>
    <s v="Open Market"/>
    <x v="0"/>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s v="South Richmond"/>
  </r>
  <r>
    <s v="18/0268/FUL"/>
    <x v="0"/>
    <x v="0"/>
    <d v="2018-05-31T00:00:00"/>
    <d v="2021-05-31T00:00:00"/>
    <m/>
    <m/>
    <x v="2"/>
    <s v="Open Market"/>
    <x v="0"/>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s v="Fulwell and Hampton Hill"/>
  </r>
  <r>
    <s v="18/0301/FUL"/>
    <x v="0"/>
    <x v="0"/>
    <d v="2018-12-18T00:00:00"/>
    <d v="2021-12-18T00:00:00"/>
    <m/>
    <m/>
    <x v="2"/>
    <s v="Open Market"/>
    <x v="0"/>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s v="Ham, Petersham and Richmond Riverside"/>
  </r>
  <r>
    <s v="18/0315/FUL"/>
    <x v="0"/>
    <x v="0"/>
    <d v="2019-06-20T00:00:00"/>
    <d v="2022-06-20T00:00:00"/>
    <m/>
    <m/>
    <x v="2"/>
    <s v="Open Market"/>
    <x v="0"/>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s v="Hampton North"/>
  </r>
  <r>
    <s v="18/0584/GPD15"/>
    <x v="1"/>
    <x v="1"/>
    <d v="2018-04-17T00:00:00"/>
    <d v="2021-05-17T00:00:00"/>
    <m/>
    <m/>
    <x v="2"/>
    <s v="Open Market"/>
    <x v="0"/>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s v="Fulwell and Hampton Hill"/>
  </r>
  <r>
    <s v="18/0723/FUL"/>
    <x v="0"/>
    <x v="0"/>
    <d v="2018-10-04T00:00:00"/>
    <d v="2021-10-04T00:00:00"/>
    <d v="2020-06-23T00:00:00"/>
    <m/>
    <x v="2"/>
    <s v="Open Market"/>
    <x v="0"/>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s v="South Richmond"/>
  </r>
  <r>
    <s v="18/0866/FUL"/>
    <x v="4"/>
    <x v="0"/>
    <d v="2018-11-05T00:00:00"/>
    <d v="2021-11-06T00:00:00"/>
    <m/>
    <m/>
    <x v="2"/>
    <s v="Open Market"/>
    <x v="0"/>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s v="North Richmond"/>
  </r>
  <r>
    <s v="18/1022/FUL"/>
    <x v="2"/>
    <x v="0"/>
    <d v="2018-11-27T00:00:00"/>
    <d v="2021-11-27T00:00:00"/>
    <m/>
    <m/>
    <x v="2"/>
    <s v="Open Market"/>
    <x v="0"/>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s v="Teddington"/>
  </r>
  <r>
    <s v="18/1038/FUL"/>
    <x v="0"/>
    <x v="0"/>
    <d v="2019-02-04T00:00:00"/>
    <d v="2022-02-04T00:00:00"/>
    <m/>
    <m/>
    <x v="2"/>
    <s v="Open Market"/>
    <x v="0"/>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s v="East Sheen"/>
  </r>
  <r>
    <s v="18/1064/GPD15"/>
    <x v="1"/>
    <x v="1"/>
    <d v="2018-05-22T00:00:00"/>
    <d v="2021-05-22T00:00:00"/>
    <m/>
    <m/>
    <x v="2"/>
    <s v="Open Market"/>
    <x v="0"/>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s v="East Sheen"/>
  </r>
  <r>
    <s v="18/1114/FUL"/>
    <x v="3"/>
    <x v="0"/>
    <d v="2019-07-25T00:00:00"/>
    <d v="2022-07-25T00:00:00"/>
    <m/>
    <m/>
    <x v="2"/>
    <s v="Open Market"/>
    <x v="0"/>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s v="Fulwell and Hampton Hill"/>
  </r>
  <r>
    <s v="18/1248/FUL"/>
    <x v="1"/>
    <x v="0"/>
    <d v="2018-12-21T00:00:00"/>
    <d v="2021-12-21T00:00:00"/>
    <m/>
    <m/>
    <x v="2"/>
    <s v="Open Market"/>
    <x v="0"/>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s v="North Richmond"/>
  </r>
  <r>
    <s v="18/1442/FUL"/>
    <x v="0"/>
    <x v="0"/>
    <d v="2019-01-07T00:00:00"/>
    <d v="2022-01-07T00:00:00"/>
    <m/>
    <m/>
    <x v="2"/>
    <s v="Open Market"/>
    <x v="0"/>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s v="West Twickenham"/>
  </r>
  <r>
    <s v="18/1446/FUL"/>
    <x v="0"/>
    <x v="0"/>
    <d v="2018-08-10T00:00:00"/>
    <d v="2021-08-10T00:00:00"/>
    <m/>
    <m/>
    <x v="2"/>
    <s v="Open Market"/>
    <x v="0"/>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s v="South Twickenham"/>
  </r>
  <r>
    <s v="18/1743/FUL"/>
    <x v="0"/>
    <x v="0"/>
    <d v="2018-10-12T00:00:00"/>
    <d v="2021-12-20T00:00:00"/>
    <m/>
    <m/>
    <x v="2"/>
    <s v="Open Market"/>
    <x v="0"/>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s v="Hampton Wick"/>
  </r>
  <r>
    <s v="18/1911/FUL"/>
    <x v="4"/>
    <x v="0"/>
    <d v="2018-12-11T00:00:00"/>
    <d v="2021-12-11T00:00:00"/>
    <m/>
    <m/>
    <x v="2"/>
    <s v="Open Market"/>
    <x v="0"/>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s v="Twickenham Riverside"/>
  </r>
  <r>
    <s v="18/2038/FUL"/>
    <x v="0"/>
    <x v="0"/>
    <d v="2019-02-12T00:00:00"/>
    <d v="2022-02-12T00:00:00"/>
    <m/>
    <m/>
    <x v="2"/>
    <s v="Open Market"/>
    <x v="0"/>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s v="Barnes"/>
  </r>
  <r>
    <s v="18/2328/GPD15"/>
    <x v="1"/>
    <x v="1"/>
    <d v="2018-09-14T00:00:00"/>
    <d v="2021-09-14T00:00:00"/>
    <m/>
    <m/>
    <x v="2"/>
    <s v="Open Market"/>
    <x v="0"/>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s v="Teddington"/>
  </r>
  <r>
    <s v="18/2716/GPD13"/>
    <x v="1"/>
    <x v="1"/>
    <d v="2018-10-08T00:00:00"/>
    <d v="2021-10-08T00:00:00"/>
    <m/>
    <m/>
    <x v="2"/>
    <s v="Open Market"/>
    <x v="0"/>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s v="East Sheen"/>
  </r>
  <r>
    <s v="18/2943/FUL"/>
    <x v="4"/>
    <x v="0"/>
    <d v="2019-11-07T00:00:00"/>
    <d v="2022-11-07T00:00:00"/>
    <m/>
    <m/>
    <x v="2"/>
    <s v="Open Market"/>
    <x v="0"/>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s v="Hampton"/>
  </r>
  <r>
    <s v="18/3003/FUL"/>
    <x v="0"/>
    <x v="0"/>
    <d v="2019-05-24T00:00:00"/>
    <d v="2022-05-24T00:00:00"/>
    <m/>
    <m/>
    <x v="2"/>
    <s v="Open Market"/>
    <x v="0"/>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s v="St. Margarets and North Twickenham"/>
  </r>
  <r>
    <s v="18/3195/GPD15"/>
    <x v="1"/>
    <x v="1"/>
    <d v="2018-11-12T00:00:00"/>
    <d v="2021-11-12T00:00:00"/>
    <m/>
    <m/>
    <x v="2"/>
    <s v="Open Market"/>
    <x v="0"/>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s v="East Sheen"/>
  </r>
  <r>
    <s v="18/3285/FUL"/>
    <x v="0"/>
    <x v="0"/>
    <d v="2019-03-18T00:00:00"/>
    <d v="2022-03-18T00:00:00"/>
    <m/>
    <m/>
    <x v="2"/>
    <s v="Open Market"/>
    <x v="0"/>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s v="Barnes"/>
  </r>
  <r>
    <s v="18/3460/FUL"/>
    <x v="2"/>
    <x v="0"/>
    <d v="2019-02-26T00:00:00"/>
    <d v="2022-02-26T00:00:00"/>
    <m/>
    <m/>
    <x v="2"/>
    <s v="Open Market"/>
    <x v="0"/>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s v="South Richmond"/>
  </r>
  <r>
    <s v="18/3613/GPD15"/>
    <x v="1"/>
    <x v="1"/>
    <d v="2018-12-28T00:00:00"/>
    <d v="2021-12-28T00:00:00"/>
    <m/>
    <m/>
    <x v="2"/>
    <s v="Open Market"/>
    <x v="0"/>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s v="Fulwell and Hampton Hill"/>
  </r>
  <r>
    <s v="18/3696/FUL"/>
    <x v="1"/>
    <x v="0"/>
    <d v="2019-02-08T00:00:00"/>
    <d v="2022-02-08T00:00:00"/>
    <m/>
    <m/>
    <x v="2"/>
    <s v="Open Market"/>
    <x v="0"/>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s v="South Twickenham"/>
  </r>
  <r>
    <s v="18/3930/FUL"/>
    <x v="0"/>
    <x v="0"/>
    <d v="2019-10-17T00:00:00"/>
    <d v="2022-10-17T00:00:00"/>
    <m/>
    <m/>
    <x v="2"/>
    <s v="Open Market"/>
    <x v="0"/>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s v="Hampton Wick"/>
  </r>
  <r>
    <s v="18/3950/FUL"/>
    <x v="1"/>
    <x v="0"/>
    <d v="2019-07-15T00:00:00"/>
    <d v="2022-07-15T00:00:00"/>
    <m/>
    <m/>
    <x v="2"/>
    <s v="Affordable Rent"/>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s v="North Richmond"/>
  </r>
  <r>
    <s v="18/3950/FUL"/>
    <x v="1"/>
    <x v="0"/>
    <d v="2019-07-15T00:00:00"/>
    <d v="2022-07-15T00:00:00"/>
    <m/>
    <m/>
    <x v="2"/>
    <s v="Intermediate"/>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s v="North Richmond"/>
  </r>
  <r>
    <s v="18/3950/FUL"/>
    <x v="1"/>
    <x v="0"/>
    <d v="2019-07-15T00:00:00"/>
    <d v="2022-07-15T00:00:00"/>
    <m/>
    <m/>
    <x v="2"/>
    <s v="Open Market"/>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s v="North Richmond"/>
  </r>
  <r>
    <s v="18/3952/FUL"/>
    <x v="0"/>
    <x v="0"/>
    <d v="2019-03-29T00:00:00"/>
    <d v="2022-04-01T00:00:00"/>
    <m/>
    <m/>
    <x v="2"/>
    <s v="Open Market"/>
    <x v="0"/>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s v="Hampton"/>
  </r>
  <r>
    <s v="18/3954/FUL"/>
    <x v="0"/>
    <x v="0"/>
    <d v="2019-07-08T00:00:00"/>
    <d v="2022-06-24T00:00:00"/>
    <m/>
    <m/>
    <x v="2"/>
    <s v="Open Market"/>
    <x v="0"/>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s v="South Richmond"/>
  </r>
  <r>
    <s v="18/4125/FUL"/>
    <x v="2"/>
    <x v="0"/>
    <d v="2019-02-06T00:00:00"/>
    <d v="2022-02-06T00:00:00"/>
    <m/>
    <m/>
    <x v="2"/>
    <s v="Open Market"/>
    <x v="0"/>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s v="Fulwell and Hampton Hill"/>
  </r>
  <r>
    <s v="18/4138/FUL"/>
    <x v="0"/>
    <x v="0"/>
    <d v="2019-11-11T00:00:00"/>
    <d v="2022-11-11T00:00:00"/>
    <d v="2020-04-14T00:00:00"/>
    <m/>
    <x v="2"/>
    <s v="Open Market"/>
    <x v="0"/>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s v="Kew"/>
  </r>
  <r>
    <s v="18/4183/FUL"/>
    <x v="0"/>
    <x v="0"/>
    <d v="2019-07-25T00:00:00"/>
    <d v="2022-07-25T00:00:00"/>
    <m/>
    <m/>
    <x v="2"/>
    <s v="Open Market"/>
    <x v="0"/>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s v="Mortlake and Barnes Common"/>
  </r>
  <r>
    <s v="18/4259/FUL"/>
    <x v="2"/>
    <x v="0"/>
    <d v="2019-09-23T00:00:00"/>
    <d v="2022-09-23T00:00:00"/>
    <m/>
    <m/>
    <x v="2"/>
    <s v="Open Market"/>
    <x v="0"/>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s v="Barnes"/>
  </r>
  <r>
    <s v="19/0171/GPD15"/>
    <x v="1"/>
    <x v="1"/>
    <d v="2019-03-19T00:00:00"/>
    <d v="2022-03-19T00:00:00"/>
    <m/>
    <m/>
    <x v="2"/>
    <s v="Open Market"/>
    <x v="0"/>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s v="Barnes"/>
  </r>
  <r>
    <s v="19/0175/FUL"/>
    <x v="0"/>
    <x v="0"/>
    <d v="2019-05-09T00:00:00"/>
    <d v="2022-05-09T00:00:00"/>
    <m/>
    <m/>
    <x v="2"/>
    <s v="Open Market"/>
    <x v="0"/>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s v="Twickenham Riverside"/>
  </r>
  <r>
    <s v="19/0228/FUL"/>
    <x v="2"/>
    <x v="0"/>
    <d v="2019-06-28T00:00:00"/>
    <d v="2022-06-28T00:00:00"/>
    <m/>
    <m/>
    <x v="2"/>
    <s v="Open Market"/>
    <x v="0"/>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s v="North Richmond"/>
  </r>
  <r>
    <s v="19/0338/FUL"/>
    <x v="0"/>
    <x v="0"/>
    <d v="2019-05-24T00:00:00"/>
    <d v="2022-05-24T00:00:00"/>
    <m/>
    <m/>
    <x v="2"/>
    <s v="Open Market"/>
    <x v="0"/>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s v="West Twickenham"/>
  </r>
  <r>
    <s v="19/0382/FUL"/>
    <x v="0"/>
    <x v="0"/>
    <d v="2019-12-05T00:00:00"/>
    <d v="2022-12-05T00:00:00"/>
    <m/>
    <m/>
    <x v="2"/>
    <s v="Open Market"/>
    <x v="0"/>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s v="South Twickenham"/>
  </r>
  <r>
    <s v="19/0391/FUL"/>
    <x v="0"/>
    <x v="0"/>
    <d v="2020-02-20T00:00:00"/>
    <d v="2023-02-20T00:00:00"/>
    <m/>
    <m/>
    <x v="2"/>
    <s v="Open Market"/>
    <x v="0"/>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s v="Mortlake and Barnes Common"/>
  </r>
  <r>
    <s v="19/0414/FUL"/>
    <x v="0"/>
    <x v="0"/>
    <d v="2020-01-22T00:00:00"/>
    <d v="2023-01-23T00:00:00"/>
    <m/>
    <m/>
    <x v="2"/>
    <s v="Open Market"/>
    <x v="0"/>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s v="Heathfield"/>
  </r>
  <r>
    <s v="19/0823/GPD13"/>
    <x v="1"/>
    <x v="1"/>
    <d v="2019-05-07T00:00:00"/>
    <d v="2022-05-07T00:00:00"/>
    <m/>
    <m/>
    <x v="2"/>
    <s v="Open Market"/>
    <x v="0"/>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s v="Kew"/>
  </r>
  <r>
    <s v="19/0847/FUL"/>
    <x v="0"/>
    <x v="0"/>
    <d v="2019-12-23T00:00:00"/>
    <d v="2022-12-24T00:00:00"/>
    <m/>
    <m/>
    <x v="2"/>
    <s v="Open Market"/>
    <x v="0"/>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s v="Teddington"/>
  </r>
  <r>
    <s v="19/0911/FUL"/>
    <x v="4"/>
    <x v="0"/>
    <d v="2020-01-17T00:00:00"/>
    <d v="2023-02-05T00:00:00"/>
    <m/>
    <m/>
    <x v="2"/>
    <s v="Open Market"/>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s v="Hampton Wick"/>
  </r>
  <r>
    <s v="19/1029/FUL"/>
    <x v="4"/>
    <x v="0"/>
    <d v="2019-09-17T00:00:00"/>
    <d v="2022-09-17T00:00:00"/>
    <m/>
    <m/>
    <x v="2"/>
    <s v="Open Market"/>
    <x v="0"/>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s v="Fulwell and Hampton Hill"/>
  </r>
  <r>
    <s v="19/1033/GPD23"/>
    <x v="1"/>
    <x v="1"/>
    <d v="2019-06-05T00:00:00"/>
    <d v="2022-06-05T00:00:00"/>
    <m/>
    <m/>
    <x v="2"/>
    <s v="Open Market"/>
    <x v="0"/>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s v="East Sheen"/>
  </r>
  <r>
    <s v="19/1098/FUL"/>
    <x v="0"/>
    <x v="0"/>
    <d v="2019-08-23T00:00:00"/>
    <d v="2022-08-27T00:00:00"/>
    <m/>
    <m/>
    <x v="2"/>
    <s v="Open Market"/>
    <x v="0"/>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s v="East Sheen"/>
  </r>
  <r>
    <s v="19/1162/FUL"/>
    <x v="3"/>
    <x v="0"/>
    <d v="2020-03-20T00:00:00"/>
    <d v="2023-03-20T00:00:00"/>
    <m/>
    <m/>
    <x v="2"/>
    <s v="Open Market"/>
    <x v="0"/>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s v="South Richmond"/>
  </r>
  <r>
    <s v="19/1219/FUL"/>
    <x v="0"/>
    <x v="0"/>
    <d v="2019-12-11T00:00:00"/>
    <d v="2022-12-11T00:00:00"/>
    <m/>
    <m/>
    <x v="2"/>
    <s v="Open Market"/>
    <x v="0"/>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s v="East Sheen"/>
  </r>
  <r>
    <s v="19/1361/FUL"/>
    <x v="4"/>
    <x v="0"/>
    <d v="2019-07-16T00:00:00"/>
    <d v="2022-07-16T00:00:00"/>
    <d v="2020-06-17T00:00:00"/>
    <d v="2020-09-30T00:00:00"/>
    <x v="2"/>
    <s v="Open Market"/>
    <x v="0"/>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s v="West Twickenham"/>
  </r>
  <r>
    <s v="19/1602/GPD15"/>
    <x v="1"/>
    <x v="1"/>
    <d v="2019-07-15T00:00:00"/>
    <d v="2022-07-15T00:00:00"/>
    <m/>
    <m/>
    <x v="2"/>
    <s v="Open Market"/>
    <x v="0"/>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s v="Fulwell and Hampton Hill"/>
  </r>
  <r>
    <s v="19/1649/GPD15"/>
    <x v="1"/>
    <x v="1"/>
    <d v="2019-07-16T00:00:00"/>
    <d v="2022-07-16T00:00:00"/>
    <m/>
    <m/>
    <x v="2"/>
    <s v="Open Market"/>
    <x v="0"/>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s v="Twickenham Riverside"/>
  </r>
  <r>
    <s v="19/1703/FUL"/>
    <x v="1"/>
    <x v="0"/>
    <d v="2019-08-12T00:00:00"/>
    <d v="2022-12-27T00:00:00"/>
    <m/>
    <m/>
    <x v="2"/>
    <s v="Open Market"/>
    <x v="0"/>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s v="West Twickenham"/>
  </r>
  <r>
    <s v="19/1731/FUL"/>
    <x v="0"/>
    <x v="0"/>
    <d v="2019-08-21T00:00:00"/>
    <d v="2022-08-21T00:00:00"/>
    <m/>
    <m/>
    <x v="2"/>
    <s v="Open Market"/>
    <x v="0"/>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s v="South Twickenham"/>
  </r>
  <r>
    <s v="19/1759/FUL"/>
    <x v="2"/>
    <x v="0"/>
    <d v="2019-09-09T00:00:00"/>
    <d v="2022-09-16T00:00:00"/>
    <m/>
    <m/>
    <x v="2"/>
    <s v="Open Market"/>
    <x v="0"/>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s v="Fulwell and Hampton Hill"/>
  </r>
  <r>
    <s v="19/1763/FUL"/>
    <x v="0"/>
    <x v="0"/>
    <d v="2019-09-23T00:00:00"/>
    <d v="2022-09-23T00:00:00"/>
    <m/>
    <m/>
    <x v="2"/>
    <s v="Open Market"/>
    <x v="0"/>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s v="St. Margarets and North Twickenham"/>
  </r>
  <r>
    <s v="19/1895/FUL"/>
    <x v="4"/>
    <x v="0"/>
    <d v="2019-10-23T00:00:00"/>
    <d v="2022-10-23T00:00:00"/>
    <m/>
    <m/>
    <x v="2"/>
    <s v="Open Market"/>
    <x v="0"/>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s v="Ham, Petersham and Richmond Riverside"/>
  </r>
  <r>
    <s v="19/1997/GPD23"/>
    <x v="1"/>
    <x v="1"/>
    <d v="2019-08-29T00:00:00"/>
    <d v="2022-08-29T00:00:00"/>
    <m/>
    <m/>
    <x v="2"/>
    <s v="Open Market"/>
    <x v="0"/>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s v="Fulwell and Hampton Hill"/>
  </r>
  <r>
    <s v="19/2102/FUL"/>
    <x v="4"/>
    <x v="0"/>
    <d v="2019-08-21T00:00:00"/>
    <d v="2022-08-27T00:00:00"/>
    <m/>
    <m/>
    <x v="2"/>
    <s v="Open Market"/>
    <x v="0"/>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s v="Hampton Wick"/>
  </r>
  <r>
    <s v="19/2273/FUL"/>
    <x v="1"/>
    <x v="0"/>
    <d v="2019-12-23T00:00:00"/>
    <d v="2022-12-23T00:00:00"/>
    <m/>
    <m/>
    <x v="2"/>
    <s v="Open Market"/>
    <x v="0"/>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s v="Hampton North"/>
  </r>
  <r>
    <s v="19/2300/FUL"/>
    <x v="0"/>
    <x v="0"/>
    <d v="2019-09-23T00:00:00"/>
    <d v="2022-09-23T00:00:00"/>
    <m/>
    <m/>
    <x v="2"/>
    <s v="Open Market"/>
    <x v="0"/>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s v="North Richmond"/>
  </r>
  <r>
    <s v="19/2788/FUL"/>
    <x v="4"/>
    <x v="0"/>
    <d v="2020-01-31T00:00:00"/>
    <d v="2023-02-03T00:00:00"/>
    <m/>
    <m/>
    <x v="2"/>
    <s v="Open Market"/>
    <x v="0"/>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s v="Kew"/>
  </r>
  <r>
    <s v="19/2796/GPD15"/>
    <x v="1"/>
    <x v="1"/>
    <d v="2019-11-05T00:00:00"/>
    <d v="2022-07-05T00:00:00"/>
    <m/>
    <m/>
    <x v="2"/>
    <s v="Open Market"/>
    <x v="0"/>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s v="Mortlake and Barnes Common"/>
  </r>
  <r>
    <s v="19/3025/FUL"/>
    <x v="1"/>
    <x v="0"/>
    <d v="2020-01-29T00:00:00"/>
    <d v="2023-01-29T00:00:00"/>
    <m/>
    <m/>
    <x v="2"/>
    <s v="Open Market"/>
    <x v="0"/>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s v="Twickenham Riverside"/>
  </r>
  <r>
    <s v="19/3101/GPD23"/>
    <x v="1"/>
    <x v="1"/>
    <d v="2019-11-18T00:00:00"/>
    <d v="2022-11-18T00:00:00"/>
    <m/>
    <m/>
    <x v="2"/>
    <s v="Open Market"/>
    <x v="0"/>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s v="Fulwell and Hampton Hill"/>
  </r>
  <r>
    <s v="19/3419/FUL"/>
    <x v="0"/>
    <x v="0"/>
    <d v="2020-03-11T00:00:00"/>
    <d v="2023-03-11T00:00:00"/>
    <m/>
    <m/>
    <x v="2"/>
    <s v="Open Market"/>
    <x v="0"/>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s v="Ham, Petersham and Richmond Riverside"/>
  </r>
  <r>
    <s v="20/0136/FUL"/>
    <x v="0"/>
    <x v="0"/>
    <d v="2020-03-26T00:00:00"/>
    <d v="2021-12-21T00:00:00"/>
    <m/>
    <m/>
    <x v="2"/>
    <s v="Open Market"/>
    <x v="0"/>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s v="Barnes"/>
  </r>
  <r>
    <s v="20/0373/PS192"/>
    <x v="1"/>
    <x v="1"/>
    <d v="2020-02-17T00:00:00"/>
    <d v="2020-02-18T00:00:00"/>
    <m/>
    <m/>
    <x v="2"/>
    <s v="Open Market"/>
    <x v="0"/>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s v="East Sheen"/>
  </r>
  <r>
    <s v="Site Allocation"/>
    <x v="0"/>
    <x v="0"/>
    <m/>
    <m/>
    <m/>
    <m/>
    <x v="3"/>
    <s v="Open Market / Affordable"/>
    <x v="0"/>
    <m/>
    <s v="Sainsbury’s, Manor Road/Lower Richmond Road"/>
    <m/>
    <m/>
    <m/>
    <m/>
    <m/>
    <m/>
    <m/>
    <m/>
    <m/>
    <m/>
    <m/>
    <m/>
    <m/>
    <m/>
    <m/>
    <m/>
    <m/>
    <m/>
    <m/>
    <m/>
    <m/>
    <m/>
    <m/>
    <m/>
    <m/>
    <m/>
    <m/>
    <m/>
    <n v="0"/>
    <m/>
    <n v="0"/>
    <n v="0"/>
    <n v="0"/>
    <n v="0"/>
    <n v="0"/>
    <n v="0"/>
    <n v="50"/>
    <n v="50"/>
    <n v="50"/>
    <n v="50"/>
    <n v="50"/>
    <n v="250"/>
    <n v="519119"/>
    <n v="175570"/>
    <s v="Ham, Petersham and Richmond Riversid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7">
  <r>
    <s v="10/0312/FUL"/>
    <x v="0"/>
    <x v="0"/>
    <d v="2010-06-15T00:00:00"/>
    <d v="2013-06-15T00:00:00"/>
    <d v="2013-06-15T00:00:00"/>
    <d v="2019-10-03T00:00:00"/>
    <x v="0"/>
    <x v="0"/>
    <m/>
    <s v="Construction of three bedroom house and associated landscaping"/>
    <s v="72 Stanley Road_x000d_Teddington_x000d__x000d_"/>
    <m/>
    <m/>
    <m/>
    <m/>
    <m/>
    <m/>
    <m/>
    <m/>
    <m/>
    <n v="0"/>
    <m/>
    <m/>
    <m/>
    <n v="1"/>
    <m/>
    <m/>
    <m/>
    <m/>
    <m/>
    <n v="1"/>
    <n v="0"/>
    <n v="0"/>
    <n v="1"/>
    <n v="0"/>
    <n v="0"/>
    <n v="0"/>
    <n v="0"/>
    <n v="0"/>
    <n v="1"/>
    <x v="0"/>
    <n v="1"/>
    <n v="0"/>
    <n v="0"/>
    <n v="0"/>
    <n v="0"/>
    <n v="0"/>
    <m/>
    <m/>
    <m/>
    <m/>
    <m/>
    <n v="0"/>
    <n v="515372"/>
    <n v="171266"/>
    <s v="Teddington"/>
  </r>
  <r>
    <s v="11/1443/FUL"/>
    <x v="0"/>
    <x v="0"/>
    <d v="2012-03-30T00:00:00"/>
    <d v="2015-03-30T00:00:00"/>
    <d v="2015-03-14T00:00:00"/>
    <d v="2020-01-31T00:00:00"/>
    <x v="0"/>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x v="1"/>
    <n v="14"/>
    <n v="0"/>
    <n v="0"/>
    <n v="0"/>
    <n v="0"/>
    <n v="0"/>
    <m/>
    <m/>
    <m/>
    <m/>
    <m/>
    <n v="0"/>
    <n v="516095"/>
    <n v="173690"/>
    <s v="St. Margarets and North Twickenham"/>
  </r>
  <r>
    <s v="11/2882/FUL"/>
    <x v="1"/>
    <x v="0"/>
    <d v="2012-09-10T00:00:00"/>
    <d v="2015-09-10T00:00:00"/>
    <d v="2015-09-09T00:00:00"/>
    <d v="2020-03-18T00:00:00"/>
    <x v="0"/>
    <x v="0"/>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x v="0"/>
    <n v="0"/>
    <n v="0"/>
    <n v="0"/>
    <n v="0"/>
    <n v="0"/>
    <n v="0"/>
    <m/>
    <m/>
    <m/>
    <m/>
    <m/>
    <n v="0"/>
    <n v="514998"/>
    <n v="172958"/>
    <s v="West Twickenham"/>
  </r>
  <r>
    <s v="13/2163/FUL"/>
    <x v="2"/>
    <x v="0"/>
    <d v="2013-10-25T00:00:00"/>
    <d v="2016-10-28T00:00:00"/>
    <d v="2016-09-01T00:00:00"/>
    <d v="2019-08-14T00:00:00"/>
    <x v="0"/>
    <x v="0"/>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x v="0"/>
    <n v="-1"/>
    <n v="0"/>
    <n v="0"/>
    <n v="0"/>
    <n v="0"/>
    <n v="0"/>
    <m/>
    <m/>
    <m/>
    <m/>
    <m/>
    <n v="0"/>
    <n v="517063"/>
    <n v="170403"/>
    <s v="Hampton Wick"/>
  </r>
  <r>
    <s v="14/3983/FUL"/>
    <x v="0"/>
    <x v="0"/>
    <d v="2015-05-15T00:00:00"/>
    <d v="2019-03-18T00:00:00"/>
    <d v="2017-04-14T00:00:00"/>
    <d v="2020-03-31T00:00:00"/>
    <x v="0"/>
    <x v="0"/>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x v="0"/>
    <n v="4"/>
    <n v="0"/>
    <n v="0"/>
    <n v="0"/>
    <n v="0"/>
    <n v="0"/>
    <m/>
    <m/>
    <m/>
    <m/>
    <m/>
    <n v="0"/>
    <n v="518627"/>
    <n v="175012"/>
    <s v="South Richmond"/>
  </r>
  <r>
    <s v="14/4464/P3JPA"/>
    <x v="1"/>
    <x v="1"/>
    <d v="2015-01-05T00:00:00"/>
    <d v="2020-07-21T00:00:00"/>
    <d v="2018-02-01T00:00:00"/>
    <d v="2019-10-11T00:00:00"/>
    <x v="0"/>
    <x v="0"/>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x v="0"/>
    <n v="6"/>
    <n v="0"/>
    <n v="0"/>
    <n v="0"/>
    <n v="0"/>
    <n v="0"/>
    <m/>
    <m/>
    <m/>
    <m/>
    <m/>
    <n v="0"/>
    <n v="515764"/>
    <n v="173105"/>
    <s v="South Twickenham"/>
  </r>
  <r>
    <s v="14/4721/FUL"/>
    <x v="0"/>
    <x v="0"/>
    <d v="2015-07-30T00:00:00"/>
    <d v="2018-07-30T00:00:00"/>
    <d v="2018-06-25T00:00:00"/>
    <d v="2020-02-19T00:00:00"/>
    <x v="0"/>
    <x v="0"/>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x v="0"/>
    <n v="8"/>
    <n v="0"/>
    <n v="0"/>
    <n v="0"/>
    <n v="0"/>
    <n v="0"/>
    <m/>
    <m/>
    <m/>
    <m/>
    <m/>
    <n v="0"/>
    <n v="521414"/>
    <n v="175749"/>
    <s v="Mortlake and Barnes Common"/>
  </r>
  <r>
    <s v="14/4793/FUL"/>
    <x v="3"/>
    <x v="0"/>
    <d v="2016-11-11T00:00:00"/>
    <d v="2019-11-11T00:00:00"/>
    <d v="2018-01-14T00:00:00"/>
    <d v="2019-11-20T00:00:00"/>
    <x v="0"/>
    <x v="0"/>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x v="0"/>
    <n v="2"/>
    <n v="0"/>
    <n v="0"/>
    <n v="0"/>
    <n v="0"/>
    <n v="0"/>
    <m/>
    <m/>
    <m/>
    <m/>
    <m/>
    <n v="0"/>
    <n v="520471"/>
    <n v="175586"/>
    <s v="East Sheen"/>
  </r>
  <r>
    <s v="14/5364/P3JPA"/>
    <x v="1"/>
    <x v="1"/>
    <d v="2015-03-03T00:00:00"/>
    <d v="2020-03-03T00:00:00"/>
    <d v="2016-03-01T00:00:00"/>
    <d v="2019-05-31T00:00:00"/>
    <x v="0"/>
    <x v="0"/>
    <m/>
    <s v="Change of use from B1 office use to C3 residential use"/>
    <s v="22 Linden Road_x000d_Hampton_x000d_TW12 2JB_x000d_"/>
    <s v="TW12 2JB"/>
    <m/>
    <m/>
    <m/>
    <m/>
    <m/>
    <m/>
    <m/>
    <m/>
    <n v="0"/>
    <m/>
    <m/>
    <m/>
    <n v="1"/>
    <m/>
    <m/>
    <m/>
    <m/>
    <m/>
    <n v="1"/>
    <n v="0"/>
    <n v="0"/>
    <n v="1"/>
    <n v="0"/>
    <n v="0"/>
    <n v="0"/>
    <n v="0"/>
    <n v="0"/>
    <n v="1"/>
    <x v="0"/>
    <n v="1"/>
    <n v="0"/>
    <n v="0"/>
    <n v="0"/>
    <n v="0"/>
    <n v="0"/>
    <m/>
    <m/>
    <m/>
    <m/>
    <m/>
    <n v="0"/>
    <n v="513125"/>
    <n v="169836"/>
    <s v="Hampton"/>
  </r>
  <r>
    <s v="15/0160/FUL"/>
    <x v="0"/>
    <x v="0"/>
    <d v="2016-02-05T00:00:00"/>
    <d v="2019-02-05T00:00:00"/>
    <d v="2017-10-02T00:00:00"/>
    <d v="2019-05-20T00:00:00"/>
    <x v="0"/>
    <x v="0"/>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x v="0"/>
    <n v="2"/>
    <n v="0"/>
    <n v="0"/>
    <n v="0"/>
    <n v="0"/>
    <n v="0"/>
    <m/>
    <m/>
    <m/>
    <m/>
    <m/>
    <n v="0"/>
    <n v="515646"/>
    <n v="171303"/>
    <s v="Teddington"/>
  </r>
  <r>
    <s v="15/0421/FUL"/>
    <x v="2"/>
    <x v="0"/>
    <d v="2016-08-04T00:00:00"/>
    <d v="2019-08-04T00:00:00"/>
    <d v="2018-03-01T00:00:00"/>
    <d v="2019-09-06T00:00:00"/>
    <x v="0"/>
    <x v="0"/>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x v="0"/>
    <n v="-3"/>
    <n v="0"/>
    <n v="0"/>
    <n v="0"/>
    <n v="0"/>
    <n v="0"/>
    <m/>
    <m/>
    <m/>
    <m/>
    <m/>
    <n v="0"/>
    <n v="518586"/>
    <n v="174575"/>
    <s v="South Richmond"/>
  </r>
  <r>
    <s v="15/1440/FUL"/>
    <x v="0"/>
    <x v="0"/>
    <d v="2018-09-28T00:00:00"/>
    <d v="2021-10-01T00:00:00"/>
    <d v="2019-02-01T00:00:00"/>
    <d v="2020-03-09T00:00:00"/>
    <x v="0"/>
    <x v="0"/>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x v="0"/>
    <n v="1"/>
    <n v="0"/>
    <n v="0"/>
    <n v="0"/>
    <n v="0"/>
    <n v="0"/>
    <m/>
    <m/>
    <m/>
    <m/>
    <m/>
    <n v="0"/>
    <n v="515114"/>
    <n v="172749"/>
    <s v="West Twickenham"/>
  </r>
  <r>
    <s v="15/1638/FUL"/>
    <x v="0"/>
    <x v="0"/>
    <d v="2016-08-23T00:00:00"/>
    <d v="2020-06-22T00:00:00"/>
    <d v="2018-02-01T00:00:00"/>
    <d v="2019-10-21T00:00:00"/>
    <x v="0"/>
    <x v="0"/>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x v="0"/>
    <n v="1"/>
    <n v="0"/>
    <n v="0"/>
    <n v="0"/>
    <n v="0"/>
    <n v="0"/>
    <m/>
    <m/>
    <m/>
    <m/>
    <m/>
    <n v="0"/>
    <n v="516222"/>
    <n v="174079"/>
    <s v="St. Margarets and North Twickenham"/>
  </r>
  <r>
    <s v="15/2440/VRC"/>
    <x v="0"/>
    <x v="0"/>
    <d v="2015-08-04T00:00:00"/>
    <d v="2018-08-04T00:00:00"/>
    <d v="2018-04-01T00:00:00"/>
    <d v="2019-10-18T00:00:00"/>
    <x v="0"/>
    <x v="0"/>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x v="0"/>
    <n v="4"/>
    <n v="0"/>
    <n v="0"/>
    <n v="0"/>
    <n v="0"/>
    <n v="0"/>
    <m/>
    <m/>
    <m/>
    <m/>
    <m/>
    <n v="0"/>
    <n v="519022"/>
    <n v="175824"/>
    <s v="Kew"/>
  </r>
  <r>
    <s v="15/2452/FUL"/>
    <x v="0"/>
    <x v="0"/>
    <d v="2015-07-27T00:00:00"/>
    <d v="2018-07-27T00:00:00"/>
    <d v="2016-05-12T00:00:00"/>
    <d v="2019-08-28T00:00:00"/>
    <x v="0"/>
    <x v="0"/>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x v="0"/>
    <n v="1"/>
    <n v="0"/>
    <n v="0"/>
    <n v="0"/>
    <n v="0"/>
    <n v="0"/>
    <m/>
    <m/>
    <m/>
    <m/>
    <m/>
    <n v="0"/>
    <n v="516657"/>
    <n v="173659"/>
    <s v="Twickenham Riverside"/>
  </r>
  <r>
    <s v="15/3183/FUL"/>
    <x v="2"/>
    <x v="0"/>
    <d v="2015-12-29T00:00:00"/>
    <d v="2018-12-30T00:00:00"/>
    <d v="2018-12-03T00:00:00"/>
    <d v="2019-07-01T00:00:00"/>
    <x v="0"/>
    <x v="0"/>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x v="0"/>
    <n v="-1"/>
    <n v="0"/>
    <n v="0"/>
    <n v="0"/>
    <n v="0"/>
    <n v="0"/>
    <m/>
    <m/>
    <m/>
    <m/>
    <m/>
    <n v="0"/>
    <n v="514482"/>
    <n v="170638"/>
    <s v="Fulwell and Hampton Hill"/>
  </r>
  <r>
    <s v="15/4230/FUL"/>
    <x v="4"/>
    <x v="0"/>
    <d v="2016-06-02T00:00:00"/>
    <d v="2019-06-02T00:00:00"/>
    <d v="2017-06-05T00:00:00"/>
    <d v="2019-08-29T00:00:00"/>
    <x v="0"/>
    <x v="0"/>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x v="0"/>
    <n v="1"/>
    <n v="0"/>
    <n v="0"/>
    <n v="0"/>
    <n v="0"/>
    <n v="0"/>
    <m/>
    <m/>
    <m/>
    <m/>
    <m/>
    <n v="0"/>
    <n v="517353"/>
    <n v="174325"/>
    <s v="Twickenham Riverside"/>
  </r>
  <r>
    <s v="15/4281/GPD15"/>
    <x v="1"/>
    <x v="1"/>
    <d v="2015-12-08T00:00:00"/>
    <d v="2020-12-09T00:00:00"/>
    <m/>
    <d v="2019-04-01T00:00:00"/>
    <x v="0"/>
    <x v="0"/>
    <m/>
    <s v="Change of use of office building (B1) to 4 bed family dwelling (C3)."/>
    <s v="31 Wick Road_x000d_Teddington_x000d_TW11 9DN_x000d_"/>
    <s v="TW11 9DN"/>
    <m/>
    <m/>
    <m/>
    <m/>
    <m/>
    <m/>
    <m/>
    <m/>
    <n v="0"/>
    <m/>
    <m/>
    <m/>
    <m/>
    <n v="1"/>
    <m/>
    <m/>
    <m/>
    <m/>
    <n v="1"/>
    <n v="0"/>
    <n v="0"/>
    <n v="0"/>
    <n v="1"/>
    <n v="0"/>
    <n v="0"/>
    <n v="0"/>
    <n v="0"/>
    <n v="1"/>
    <x v="0"/>
    <n v="1"/>
    <n v="0"/>
    <n v="0"/>
    <n v="0"/>
    <n v="0"/>
    <n v="0"/>
    <m/>
    <m/>
    <m/>
    <m/>
    <m/>
    <n v="0"/>
    <n v="517033"/>
    <n v="170116"/>
    <s v="Hampton Wick"/>
  </r>
  <r>
    <s v="15/4835/FUL"/>
    <x v="0"/>
    <x v="0"/>
    <d v="2016-09-06T00:00:00"/>
    <d v="2019-09-07T00:00:00"/>
    <m/>
    <d v="2019-07-31T00:00:00"/>
    <x v="0"/>
    <x v="0"/>
    <m/>
    <s v="Erection of a three bedroom chalet bungalow on land to the rear of 9 Gloucester Road."/>
    <s v="9 Gloucester Road_x000d_Teddington_x000d__x000d_"/>
    <m/>
    <m/>
    <m/>
    <m/>
    <m/>
    <m/>
    <m/>
    <m/>
    <m/>
    <n v="0"/>
    <m/>
    <m/>
    <m/>
    <n v="1"/>
    <m/>
    <m/>
    <m/>
    <m/>
    <m/>
    <n v="1"/>
    <n v="0"/>
    <n v="0"/>
    <n v="1"/>
    <n v="0"/>
    <n v="0"/>
    <n v="0"/>
    <n v="0"/>
    <n v="0"/>
    <n v="1"/>
    <x v="0"/>
    <n v="1"/>
    <n v="0"/>
    <n v="0"/>
    <n v="0"/>
    <n v="0"/>
    <n v="0"/>
    <m/>
    <m/>
    <m/>
    <m/>
    <m/>
    <n v="0"/>
    <n v="515214"/>
    <n v="171265"/>
    <s v="Fulwell and Hampton Hill"/>
  </r>
  <r>
    <s v="15/5216/FUL"/>
    <x v="0"/>
    <x v="0"/>
    <d v="2016-09-08T00:00:00"/>
    <d v="2019-10-21T00:00:00"/>
    <d v="2017-11-01T00:00:00"/>
    <d v="2019-06-30T00:00:00"/>
    <x v="0"/>
    <x v="1"/>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x v="1"/>
    <n v="15"/>
    <n v="0"/>
    <n v="0"/>
    <n v="0"/>
    <n v="0"/>
    <n v="0"/>
    <m/>
    <m/>
    <m/>
    <m/>
    <m/>
    <n v="0"/>
    <n v="517536"/>
    <n v="170257"/>
    <s v="Hampton Wick"/>
  </r>
  <r>
    <s v="15/5369/FUL"/>
    <x v="0"/>
    <x v="0"/>
    <d v="2016-06-15T00:00:00"/>
    <d v="2019-06-17T00:00:00"/>
    <m/>
    <d v="2019-07-30T00:00:00"/>
    <x v="0"/>
    <x v="0"/>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x v="0"/>
    <n v="0"/>
    <n v="0"/>
    <n v="0"/>
    <n v="0"/>
    <n v="0"/>
    <n v="0"/>
    <m/>
    <m/>
    <m/>
    <m/>
    <m/>
    <n v="0"/>
    <n v="513492"/>
    <n v="170250"/>
    <s v="Hampton"/>
  </r>
  <r>
    <s v="16/0234/FUL"/>
    <x v="0"/>
    <x v="0"/>
    <d v="2016-10-14T00:00:00"/>
    <d v="2019-10-14T00:00:00"/>
    <d v="2017-12-01T00:00:00"/>
    <d v="2019-07-19T00:00:00"/>
    <x v="0"/>
    <x v="0"/>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x v="0"/>
    <n v="1"/>
    <n v="0"/>
    <n v="0"/>
    <n v="0"/>
    <n v="0"/>
    <n v="0"/>
    <m/>
    <m/>
    <m/>
    <m/>
    <m/>
    <n v="0"/>
    <n v="515988"/>
    <n v="173004"/>
    <s v="South Twickenham"/>
  </r>
  <r>
    <s v="16/1293/FUL"/>
    <x v="4"/>
    <x v="0"/>
    <d v="2017-11-20T00:00:00"/>
    <d v="2020-11-21T00:00:00"/>
    <d v="2018-02-01T00:00:00"/>
    <d v="2019-10-11T00:00:00"/>
    <x v="0"/>
    <x v="0"/>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x v="0"/>
    <n v="4"/>
    <n v="0"/>
    <n v="0"/>
    <n v="0"/>
    <n v="0"/>
    <n v="0"/>
    <m/>
    <m/>
    <m/>
    <m/>
    <m/>
    <n v="0"/>
    <n v="515764"/>
    <n v="173105"/>
    <s v="South Twickenham"/>
  </r>
  <r>
    <s v="16/1344/FUL"/>
    <x v="1"/>
    <x v="0"/>
    <d v="2017-05-18T00:00:00"/>
    <d v="2020-05-18T00:00:00"/>
    <d v="2018-01-08T00:00:00"/>
    <d v="2019-09-03T00:00:00"/>
    <x v="0"/>
    <x v="0"/>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x v="0"/>
    <n v="3"/>
    <n v="0"/>
    <n v="0"/>
    <n v="0"/>
    <n v="0"/>
    <n v="0"/>
    <m/>
    <m/>
    <m/>
    <m/>
    <m/>
    <n v="0"/>
    <n v="516815"/>
    <n v="174220"/>
    <s v="St. Margarets and North Twickenham"/>
  </r>
  <r>
    <s v="16/1729/FUL"/>
    <x v="3"/>
    <x v="0"/>
    <d v="2017-01-16T00:00:00"/>
    <d v="2020-05-03T00:00:00"/>
    <d v="2018-02-01T00:00:00"/>
    <d v="2019-08-01T00:00:00"/>
    <x v="0"/>
    <x v="0"/>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x v="0"/>
    <n v="3"/>
    <n v="0"/>
    <n v="0"/>
    <n v="0"/>
    <n v="0"/>
    <n v="0"/>
    <m/>
    <m/>
    <m/>
    <m/>
    <m/>
    <n v="0"/>
    <n v="513783"/>
    <n v="169643"/>
    <s v="Hampton"/>
  </r>
  <r>
    <s v="16/1935/GPD15"/>
    <x v="1"/>
    <x v="1"/>
    <d v="2016-07-04T00:00:00"/>
    <d v="2019-07-19T00:00:00"/>
    <d v="2018-10-01T00:00:00"/>
    <d v="2019-09-30T00:00:00"/>
    <x v="0"/>
    <x v="0"/>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x v="1"/>
    <n v="21"/>
    <n v="0"/>
    <n v="0"/>
    <n v="0"/>
    <n v="0"/>
    <n v="0"/>
    <m/>
    <m/>
    <m/>
    <m/>
    <m/>
    <n v="0"/>
    <n v="514411"/>
    <n v="171129"/>
    <s v="Fulwell and Hampton Hill"/>
  </r>
  <r>
    <s v="16/2042/FUL"/>
    <x v="2"/>
    <x v="0"/>
    <d v="2018-10-19T00:00:00"/>
    <d v="2021-10-19T00:00:00"/>
    <d v="2019-03-01T00:00:00"/>
    <d v="2020-03-02T00:00:00"/>
    <x v="0"/>
    <x v="0"/>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x v="0"/>
    <n v="3"/>
    <n v="0"/>
    <n v="0"/>
    <n v="0"/>
    <n v="0"/>
    <n v="0"/>
    <m/>
    <m/>
    <m/>
    <m/>
    <m/>
    <n v="0"/>
    <n v="516100"/>
    <n v="174435"/>
    <s v="St. Margarets and North Twickenham"/>
  </r>
  <r>
    <s v="16/2158/FUL"/>
    <x v="2"/>
    <x v="0"/>
    <d v="2016-08-05T00:00:00"/>
    <d v="2019-08-05T00:00:00"/>
    <d v="2016-09-29T00:00:00"/>
    <d v="2020-03-31T00:00:00"/>
    <x v="0"/>
    <x v="0"/>
    <m/>
    <s v="Reversion of 2 No. dwellinghouses into a single family dwellinghouse."/>
    <s v="Ormonde Lodge_x000d_2A St Peters Road_x000d_Twickenham_x000d_TW1 1QX_x000d_"/>
    <m/>
    <m/>
    <m/>
    <m/>
    <n v="2"/>
    <m/>
    <m/>
    <m/>
    <m/>
    <n v="2"/>
    <m/>
    <m/>
    <m/>
    <m/>
    <n v="1"/>
    <m/>
    <m/>
    <m/>
    <m/>
    <n v="1"/>
    <n v="0"/>
    <n v="0"/>
    <n v="0"/>
    <n v="-1"/>
    <n v="0"/>
    <n v="0"/>
    <n v="0"/>
    <n v="0"/>
    <n v="-1"/>
    <x v="0"/>
    <n v="-1"/>
    <n v="0"/>
    <n v="0"/>
    <n v="0"/>
    <n v="0"/>
    <n v="0"/>
    <m/>
    <m/>
    <m/>
    <m/>
    <m/>
    <n v="0"/>
    <n v="516878"/>
    <n v="174968"/>
    <s v="St. Margarets and North Twickenham"/>
  </r>
  <r>
    <s v="16/2348/FUL"/>
    <x v="0"/>
    <x v="0"/>
    <d v="2016-11-30T00:00:00"/>
    <d v="2019-11-30T00:00:00"/>
    <d v="2018-04-25T00:00:00"/>
    <d v="2020-03-31T00:00:00"/>
    <x v="0"/>
    <x v="0"/>
    <m/>
    <s v="Demolition of existing sheds and construction of a single storey one bedroom dwelling."/>
    <s v="38A Pagoda Avenue_x000d_Richmond_x000d_TW9 2HF"/>
    <m/>
    <m/>
    <m/>
    <m/>
    <m/>
    <m/>
    <m/>
    <m/>
    <m/>
    <n v="0"/>
    <m/>
    <n v="1"/>
    <m/>
    <m/>
    <m/>
    <m/>
    <m/>
    <m/>
    <m/>
    <n v="1"/>
    <n v="1"/>
    <n v="0"/>
    <n v="0"/>
    <n v="0"/>
    <n v="0"/>
    <n v="0"/>
    <n v="0"/>
    <n v="0"/>
    <n v="1"/>
    <x v="0"/>
    <n v="1"/>
    <n v="0"/>
    <n v="0"/>
    <n v="0"/>
    <n v="0"/>
    <n v="0"/>
    <m/>
    <m/>
    <m/>
    <m/>
    <m/>
    <n v="0"/>
    <n v="518622"/>
    <n v="175641"/>
    <s v="North Richmond"/>
  </r>
  <r>
    <s v="16/2502/FUL"/>
    <x v="0"/>
    <x v="0"/>
    <d v="2017-03-16T00:00:00"/>
    <d v="2020-03-17T00:00:00"/>
    <d v="2018-02-01T00:00:00"/>
    <d v="2019-09-27T00:00:00"/>
    <x v="0"/>
    <x v="0"/>
    <m/>
    <s v="Demolition of existing dwelling and erection of a new six bedroom house with basement."/>
    <s v="43 Strawberry Vale_x000d_Twickenham_x000d_TW1 4RX"/>
    <m/>
    <m/>
    <m/>
    <m/>
    <n v="1"/>
    <m/>
    <m/>
    <m/>
    <m/>
    <n v="1"/>
    <m/>
    <m/>
    <m/>
    <m/>
    <m/>
    <m/>
    <n v="1"/>
    <m/>
    <m/>
    <n v="1"/>
    <n v="0"/>
    <n v="0"/>
    <n v="0"/>
    <n v="-1"/>
    <n v="0"/>
    <n v="1"/>
    <n v="0"/>
    <n v="0"/>
    <n v="0"/>
    <x v="0"/>
    <n v="0"/>
    <n v="0"/>
    <n v="0"/>
    <n v="0"/>
    <n v="0"/>
    <n v="0"/>
    <m/>
    <m/>
    <m/>
    <m/>
    <m/>
    <n v="0"/>
    <n v="516098"/>
    <n v="172295"/>
    <s v="South Twickenham"/>
  </r>
  <r>
    <s v="16/2975/GPD15"/>
    <x v="1"/>
    <x v="1"/>
    <d v="2016-09-14T00:00:00"/>
    <d v="2019-09-14T00:00:00"/>
    <d v="2019-01-09T00:00:00"/>
    <d v="2019-12-23T00:00:00"/>
    <x v="0"/>
    <x v="0"/>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x v="0"/>
    <n v="2"/>
    <n v="0"/>
    <n v="0"/>
    <n v="0"/>
    <n v="0"/>
    <n v="0"/>
    <m/>
    <m/>
    <m/>
    <m/>
    <m/>
    <n v="0"/>
    <n v="516167"/>
    <n v="173210"/>
    <s v="Twickenham Riverside"/>
  </r>
  <r>
    <s v="16/3210/GPD15"/>
    <x v="1"/>
    <x v="1"/>
    <d v="2016-09-30T00:00:00"/>
    <d v="2019-09-30T00:00:00"/>
    <d v="2019-04-02T00:00:00"/>
    <d v="2020-02-11T00:00:00"/>
    <x v="0"/>
    <x v="0"/>
    <m/>
    <s v="Change of use from B1 (Office) to C3 (Residential) comprising 4 x 1 bedroom flats."/>
    <s v="123 High Street_x000d_Whitton_x000d_Twickenham_x000d_TW2 7LQ_x000d_"/>
    <s v="-"/>
    <m/>
    <m/>
    <m/>
    <m/>
    <m/>
    <m/>
    <m/>
    <m/>
    <n v="0"/>
    <m/>
    <n v="4"/>
    <m/>
    <m/>
    <m/>
    <m/>
    <m/>
    <m/>
    <m/>
    <n v="4"/>
    <n v="4"/>
    <n v="0"/>
    <n v="0"/>
    <n v="0"/>
    <n v="0"/>
    <n v="0"/>
    <n v="0"/>
    <n v="0"/>
    <n v="4"/>
    <x v="0"/>
    <n v="4"/>
    <n v="0"/>
    <n v="0"/>
    <n v="0"/>
    <n v="0"/>
    <n v="0"/>
    <m/>
    <m/>
    <m/>
    <m/>
    <m/>
    <n v="0"/>
    <n v="514223"/>
    <n v="173584"/>
    <s v="Whitton"/>
  </r>
  <r>
    <s v="16/3247/FUL"/>
    <x v="0"/>
    <x v="0"/>
    <d v="2017-07-14T00:00:00"/>
    <d v="2020-10-31T00:00:00"/>
    <d v="2018-10-01T00:00:00"/>
    <d v="2020-01-21T00:00:00"/>
    <x v="0"/>
    <x v="0"/>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x v="0"/>
    <n v="1"/>
    <n v="0"/>
    <n v="0"/>
    <n v="0"/>
    <n v="0"/>
    <n v="0"/>
    <m/>
    <m/>
    <m/>
    <m/>
    <m/>
    <n v="0"/>
    <n v="512538"/>
    <n v="173280"/>
    <s v="Heathfield"/>
  </r>
  <r>
    <s v="16/3485/FUL"/>
    <x v="2"/>
    <x v="0"/>
    <d v="2017-10-30T00:00:00"/>
    <d v="2020-10-30T00:00:00"/>
    <d v="2020-01-10T00:00:00"/>
    <d v="2019-07-01T00:00:00"/>
    <x v="0"/>
    <x v="0"/>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x v="0"/>
    <n v="-1"/>
    <n v="0"/>
    <n v="0"/>
    <n v="0"/>
    <n v="0"/>
    <n v="0"/>
    <m/>
    <m/>
    <m/>
    <m/>
    <m/>
    <n v="0"/>
    <n v="514501"/>
    <n v="170687"/>
    <s v="Fulwell and Hampton Hill"/>
  </r>
  <r>
    <s v="16/3552/FUL"/>
    <x v="3"/>
    <x v="0"/>
    <d v="2018-04-24T00:00:00"/>
    <d v="2021-04-24T00:00:00"/>
    <d v="2018-04-25T00:00:00"/>
    <d v="2020-03-30T00:00:00"/>
    <x v="0"/>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x v="1"/>
    <n v="11"/>
    <n v="0"/>
    <n v="0"/>
    <n v="0"/>
    <n v="0"/>
    <n v="0"/>
    <m/>
    <m/>
    <m/>
    <m/>
    <m/>
    <n v="0"/>
    <n v="517752"/>
    <n v="172177"/>
    <s v="Ham, Petersham and Richmond Riverside"/>
  </r>
  <r>
    <s v="16/3685/FUL"/>
    <x v="3"/>
    <x v="0"/>
    <d v="2016-11-16T00:00:00"/>
    <d v="2021-02-15T00:00:00"/>
    <d v="2018-06-22T00:00:00"/>
    <d v="2019-08-31T00:00:00"/>
    <x v="0"/>
    <x v="0"/>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x v="0"/>
    <n v="1"/>
    <n v="0"/>
    <n v="0"/>
    <n v="0"/>
    <n v="0"/>
    <n v="0"/>
    <m/>
    <m/>
    <m/>
    <m/>
    <m/>
    <n v="0"/>
    <n v="515385"/>
    <n v="174051"/>
    <s v="St. Margarets and North Twickenham"/>
  </r>
  <r>
    <s v="16/4193/FUL"/>
    <x v="0"/>
    <x v="0"/>
    <d v="2017-07-19T00:00:00"/>
    <d v="2020-07-19T00:00:00"/>
    <m/>
    <d v="2019-11-13T00:00:00"/>
    <x v="0"/>
    <x v="0"/>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x v="0"/>
    <n v="0"/>
    <n v="0"/>
    <n v="0"/>
    <n v="0"/>
    <n v="0"/>
    <n v="0"/>
    <m/>
    <m/>
    <m/>
    <m/>
    <m/>
    <n v="0"/>
    <n v="513706"/>
    <n v="170624"/>
    <s v="Hampton North"/>
  </r>
  <r>
    <s v="17/0164/GPD15"/>
    <x v="1"/>
    <x v="1"/>
    <d v="2017-03-10T00:00:00"/>
    <d v="2020-03-10T00:00:00"/>
    <d v="2018-10-01T00:00:00"/>
    <d v="2019-04-24T00:00:00"/>
    <x v="0"/>
    <x v="0"/>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x v="0"/>
    <n v="1"/>
    <n v="0"/>
    <n v="0"/>
    <n v="0"/>
    <n v="0"/>
    <n v="0"/>
    <m/>
    <m/>
    <m/>
    <m/>
    <m/>
    <n v="0"/>
    <n v="516177"/>
    <n v="173221"/>
    <s v="Twickenham Riverside"/>
  </r>
  <r>
    <s v="17/0396/FUL"/>
    <x v="0"/>
    <x v="0"/>
    <d v="2017-06-05T00:00:00"/>
    <d v="2020-06-05T00:00:00"/>
    <d v="2019-02-01T00:00:00"/>
    <d v="2020-03-23T00:00:00"/>
    <x v="0"/>
    <x v="1"/>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x v="0"/>
    <n v="0"/>
    <n v="0"/>
    <n v="0"/>
    <n v="0"/>
    <n v="0"/>
    <n v="0"/>
    <m/>
    <m/>
    <m/>
    <m/>
    <m/>
    <n v="0"/>
    <n v="517438"/>
    <n v="171815"/>
    <s v="Ham, Petersham and Richmond Riverside"/>
  </r>
  <r>
    <s v="17/0460/FUL"/>
    <x v="2"/>
    <x v="0"/>
    <d v="2017-07-14T00:00:00"/>
    <d v="2020-07-14T00:00:00"/>
    <m/>
    <d v="2020-03-31T00:00:00"/>
    <x v="0"/>
    <x v="0"/>
    <m/>
    <s v="Reversion of 4no. flats to a single family dwellinghouse."/>
    <s v="45 Castelnau_x000d_Barnes_x000d_London_x000d_SW13 9RT"/>
    <s v="SW13 9RT"/>
    <n v="3"/>
    <m/>
    <m/>
    <m/>
    <n v="1"/>
    <m/>
    <m/>
    <m/>
    <n v="4"/>
    <m/>
    <m/>
    <m/>
    <m/>
    <m/>
    <m/>
    <m/>
    <n v="1"/>
    <m/>
    <n v="1"/>
    <n v="-3"/>
    <n v="0"/>
    <n v="0"/>
    <n v="0"/>
    <n v="-1"/>
    <n v="0"/>
    <n v="1"/>
    <n v="0"/>
    <n v="-3"/>
    <x v="0"/>
    <n v="-3"/>
    <n v="0"/>
    <n v="0"/>
    <n v="0"/>
    <n v="0"/>
    <n v="0"/>
    <m/>
    <m/>
    <m/>
    <m/>
    <m/>
    <n v="0"/>
    <n v="522418"/>
    <n v="176934"/>
    <s v="Barnes"/>
  </r>
  <r>
    <s v="17/0733/FUL"/>
    <x v="2"/>
    <x v="0"/>
    <d v="2017-09-13T00:00:00"/>
    <d v="2020-09-13T00:00:00"/>
    <d v="2019-10-31T00:00:00"/>
    <d v="2020-03-18T00:00:00"/>
    <x v="0"/>
    <x v="0"/>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x v="0"/>
    <n v="1"/>
    <n v="0"/>
    <n v="0"/>
    <n v="0"/>
    <n v="0"/>
    <n v="0"/>
    <m/>
    <m/>
    <m/>
    <m/>
    <m/>
    <n v="0"/>
    <n v="520325"/>
    <n v="175316"/>
    <s v="East Sheen"/>
  </r>
  <r>
    <s v="17/0956/FUL"/>
    <x v="0"/>
    <x v="0"/>
    <d v="2017-09-14T00:00:00"/>
    <d v="2020-09-14T00:00:00"/>
    <d v="2019-01-14T00:00:00"/>
    <d v="2020-02-20T00:00:00"/>
    <x v="0"/>
    <x v="0"/>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x v="0"/>
    <n v="6"/>
    <n v="0"/>
    <n v="0"/>
    <n v="0"/>
    <n v="0"/>
    <n v="0"/>
    <m/>
    <m/>
    <m/>
    <m/>
    <m/>
    <n v="0"/>
    <n v="522302"/>
    <n v="176537"/>
    <s v="Barnes"/>
  </r>
  <r>
    <s v="17/1207/FUL"/>
    <x v="0"/>
    <x v="0"/>
    <d v="2017-10-24T00:00:00"/>
    <d v="2020-10-24T00:00:00"/>
    <d v="2018-10-01T00:00:00"/>
    <d v="2019-11-18T00:00:00"/>
    <x v="0"/>
    <x v="0"/>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x v="0"/>
    <n v="2"/>
    <n v="0"/>
    <n v="0"/>
    <n v="0"/>
    <n v="0"/>
    <n v="0"/>
    <m/>
    <m/>
    <m/>
    <m/>
    <m/>
    <n v="0"/>
    <n v="518953"/>
    <n v="176997"/>
    <s v="Kew"/>
  </r>
  <r>
    <s v="17/1286/VRC"/>
    <x v="0"/>
    <x v="0"/>
    <d v="2017-10-05T00:00:00"/>
    <d v="2017-12-09T00:00:00"/>
    <d v="2017-10-05T00:00:00"/>
    <d v="2019-08-19T00:00:00"/>
    <x v="0"/>
    <x v="1"/>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x v="1"/>
    <n v="15"/>
    <n v="0"/>
    <n v="0"/>
    <n v="0"/>
    <n v="0"/>
    <n v="0"/>
    <m/>
    <m/>
    <m/>
    <m/>
    <m/>
    <n v="0"/>
    <n v="516802"/>
    <n v="171333"/>
    <s v="Teddington"/>
  </r>
  <r>
    <s v="17/1286/VRC"/>
    <x v="0"/>
    <x v="0"/>
    <d v="2017-10-05T00:00:00"/>
    <d v="2017-12-09T00:00:00"/>
    <d v="2017-10-05T00:00:00"/>
    <d v="2019-12-0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x v="1"/>
    <n v="93"/>
    <n v="0"/>
    <n v="0"/>
    <n v="0"/>
    <n v="0"/>
    <n v="0"/>
    <m/>
    <m/>
    <m/>
    <m/>
    <m/>
    <n v="0"/>
    <n v="516802"/>
    <n v="171333"/>
    <s v="Teddington"/>
  </r>
  <r>
    <s v="17/1286/VRC"/>
    <x v="0"/>
    <x v="0"/>
    <d v="2017-10-05T00:00:00"/>
    <d v="2017-12-09T00:00:00"/>
    <d v="2017-10-05T00:00:00"/>
    <d v="2019-04-2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x v="1"/>
    <n v="47"/>
    <n v="0"/>
    <n v="0"/>
    <n v="0"/>
    <n v="0"/>
    <n v="0"/>
    <m/>
    <m/>
    <m/>
    <m/>
    <m/>
    <n v="0"/>
    <n v="516802"/>
    <n v="171333"/>
    <s v="Teddington"/>
  </r>
  <r>
    <s v="17/1621/FUL"/>
    <x v="1"/>
    <x v="0"/>
    <d v="2017-10-09T00:00:00"/>
    <d v="2021-04-03T00:00:00"/>
    <d v="2019-09-05T00:00:00"/>
    <d v="2019-10-29T00:00:00"/>
    <x v="0"/>
    <x v="0"/>
    <m/>
    <s v="Conversion of First Floor Offices (B1) to Residential (C3) and Remodelling of Second Floor Flat."/>
    <s v="3 Union Court_x000d_Sheen Road_x000d_Richmond_x000d__x000d_"/>
    <s v="TW9"/>
    <m/>
    <m/>
    <m/>
    <m/>
    <m/>
    <m/>
    <m/>
    <m/>
    <n v="0"/>
    <m/>
    <n v="1"/>
    <m/>
    <m/>
    <m/>
    <m/>
    <m/>
    <m/>
    <m/>
    <n v="1"/>
    <n v="1"/>
    <n v="0"/>
    <n v="0"/>
    <n v="0"/>
    <n v="0"/>
    <n v="0"/>
    <n v="0"/>
    <n v="0"/>
    <n v="1"/>
    <x v="0"/>
    <n v="1"/>
    <n v="0"/>
    <n v="0"/>
    <n v="0"/>
    <n v="0"/>
    <n v="0"/>
    <m/>
    <m/>
    <m/>
    <m/>
    <m/>
    <n v="0"/>
    <n v="518053"/>
    <n v="174903"/>
    <s v="South Richmond"/>
  </r>
  <r>
    <s v="17/2534/FUL"/>
    <x v="2"/>
    <x v="0"/>
    <d v="2018-02-22T00:00:00"/>
    <d v="2021-02-22T00:00:00"/>
    <d v="2019-03-01T00:00:00"/>
    <d v="2020-03-25T00:00:00"/>
    <x v="0"/>
    <x v="0"/>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x v="0"/>
    <n v="-2"/>
    <n v="0"/>
    <n v="0"/>
    <n v="0"/>
    <n v="0"/>
    <n v="0"/>
    <m/>
    <m/>
    <m/>
    <m/>
    <m/>
    <n v="0"/>
    <n v="518396"/>
    <n v="174632"/>
    <s v="South Richmond"/>
  </r>
  <r>
    <s v="17/2779/NMA"/>
    <x v="0"/>
    <x v="0"/>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x v="1"/>
    <n v="10"/>
    <n v="0"/>
    <n v="0"/>
    <n v="0"/>
    <n v="0"/>
    <n v="0"/>
    <m/>
    <m/>
    <m/>
    <m/>
    <m/>
    <n v="0"/>
    <n v="518534"/>
    <n v="171320"/>
    <s v="Ham, Petersham and Richmond Riverside"/>
  </r>
  <r>
    <s v="17/2779/NMA"/>
    <x v="0"/>
    <x v="0"/>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x v="1"/>
    <n v="7"/>
    <n v="0"/>
    <n v="0"/>
    <n v="0"/>
    <n v="0"/>
    <n v="0"/>
    <m/>
    <m/>
    <m/>
    <m/>
    <m/>
    <n v="0"/>
    <n v="518534"/>
    <n v="171320"/>
    <s v="Ham, Petersham and Richmond Riverside"/>
  </r>
  <r>
    <s v="17/2995/FUL"/>
    <x v="1"/>
    <x v="0"/>
    <d v="2018-04-24T00:00:00"/>
    <d v="2021-04-24T00:00:00"/>
    <d v="2019-01-31T00:00:00"/>
    <d v="2019-04-10T00:00:00"/>
    <x v="0"/>
    <x v="0"/>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x v="0"/>
    <n v="2"/>
    <n v="0"/>
    <n v="0"/>
    <n v="0"/>
    <n v="0"/>
    <n v="0"/>
    <m/>
    <m/>
    <m/>
    <m/>
    <m/>
    <n v="0"/>
    <n v="518267"/>
    <n v="175282"/>
    <s v="North Richmond"/>
  </r>
  <r>
    <s v="17/3132/FUL"/>
    <x v="0"/>
    <x v="0"/>
    <d v="2018-10-16T00:00:00"/>
    <d v="2021-10-16T00:00:00"/>
    <d v="2019-02-05T00:00:00"/>
    <d v="2020-03-31T00:00:00"/>
    <x v="0"/>
    <x v="0"/>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x v="0"/>
    <n v="1"/>
    <n v="0"/>
    <n v="0"/>
    <n v="0"/>
    <n v="0"/>
    <n v="0"/>
    <m/>
    <m/>
    <m/>
    <m/>
    <m/>
    <n v="0"/>
    <n v="517531"/>
    <n v="174067"/>
    <s v="Twickenham Riverside"/>
  </r>
  <r>
    <s v="17/3347/FUL"/>
    <x v="0"/>
    <x v="0"/>
    <d v="2018-07-25T00:00:00"/>
    <d v="2021-07-25T00:00:00"/>
    <d v="2018-11-01T00:00:00"/>
    <d v="2019-12-02T00:00:00"/>
    <x v="0"/>
    <x v="0"/>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x v="0"/>
    <n v="2"/>
    <n v="0"/>
    <n v="0"/>
    <n v="0"/>
    <n v="0"/>
    <n v="0"/>
    <m/>
    <m/>
    <m/>
    <m/>
    <m/>
    <n v="0"/>
    <n v="521397"/>
    <n v="175828"/>
    <s v="Mortlake and Barnes Common"/>
  </r>
  <r>
    <s v="17/3591/FUL"/>
    <x v="2"/>
    <x v="0"/>
    <d v="2018-10-12T00:00:00"/>
    <d v="2021-10-12T00:00:00"/>
    <m/>
    <d v="2020-03-31T00:00:00"/>
    <x v="0"/>
    <x v="0"/>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x v="0"/>
    <n v="1"/>
    <n v="0"/>
    <n v="0"/>
    <n v="0"/>
    <n v="0"/>
    <n v="0"/>
    <m/>
    <m/>
    <m/>
    <m/>
    <m/>
    <n v="0"/>
    <n v="514174"/>
    <n v="173697"/>
    <s v="Whitton"/>
  </r>
  <r>
    <s v="17/4238/FUL"/>
    <x v="0"/>
    <x v="0"/>
    <d v="2018-02-23T00:00:00"/>
    <d v="2021-02-26T00:00:00"/>
    <d v="2019-02-13T00:00:00"/>
    <d v="2019-10-30T00:00:00"/>
    <x v="0"/>
    <x v="0"/>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x v="0"/>
    <n v="-1"/>
    <n v="0"/>
    <n v="0"/>
    <n v="0"/>
    <n v="0"/>
    <n v="0"/>
    <m/>
    <m/>
    <m/>
    <m/>
    <m/>
    <n v="0"/>
    <n v="515649"/>
    <n v="170638"/>
    <s v="Teddington"/>
  </r>
  <r>
    <s v="17/4606/FUL"/>
    <x v="0"/>
    <x v="0"/>
    <d v="2018-05-04T00:00:00"/>
    <d v="2021-05-04T00:00:00"/>
    <d v="2018-06-01T00:00:00"/>
    <d v="2019-05-31T00:00:00"/>
    <x v="0"/>
    <x v="0"/>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x v="0"/>
    <n v="1"/>
    <n v="0"/>
    <n v="0"/>
    <n v="0"/>
    <n v="0"/>
    <n v="0"/>
    <m/>
    <m/>
    <m/>
    <m/>
    <m/>
    <n v="0"/>
    <n v="517784"/>
    <n v="171703"/>
    <s v="Ham, Petersham and Richmond Riverside"/>
  </r>
  <r>
    <s v="18/0318/FUL"/>
    <x v="2"/>
    <x v="0"/>
    <d v="2018-10-09T00:00:00"/>
    <d v="2021-10-09T00:00:00"/>
    <d v="2018-11-01T00:00:00"/>
    <d v="2020-03-18T00:00:00"/>
    <x v="0"/>
    <x v="0"/>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x v="0"/>
    <n v="-1"/>
    <n v="0"/>
    <n v="0"/>
    <n v="0"/>
    <n v="0"/>
    <n v="0"/>
    <m/>
    <m/>
    <m/>
    <m/>
    <m/>
    <n v="0"/>
    <n v="514998"/>
    <n v="172958"/>
    <s v="West Twickenham"/>
  </r>
  <r>
    <s v="18/0433/FUL"/>
    <x v="1"/>
    <x v="0"/>
    <d v="2018-07-24T00:00:00"/>
    <d v="2021-07-24T00:00:00"/>
    <d v="2019-05-01T00:00:00"/>
    <d v="2019-09-14T00:00:00"/>
    <x v="0"/>
    <x v="0"/>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x v="0"/>
    <n v="4"/>
    <n v="0"/>
    <n v="0"/>
    <n v="0"/>
    <n v="0"/>
    <n v="0"/>
    <m/>
    <m/>
    <m/>
    <m/>
    <m/>
    <n v="0"/>
    <n v="515424"/>
    <n v="173951"/>
    <s v="St. Margarets and North Twickenham"/>
  </r>
  <r>
    <s v="18/0665/FUL"/>
    <x v="0"/>
    <x v="0"/>
    <d v="2018-09-20T00:00:00"/>
    <d v="2021-09-20T00:00:00"/>
    <d v="2018-04-09T00:00:00"/>
    <d v="2019-08-01T00:00:00"/>
    <x v="0"/>
    <x v="0"/>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x v="0"/>
    <n v="1"/>
    <n v="0"/>
    <n v="0"/>
    <n v="0"/>
    <n v="0"/>
    <n v="0"/>
    <m/>
    <m/>
    <m/>
    <m/>
    <m/>
    <n v="0"/>
    <n v="514859"/>
    <n v="172254"/>
    <s v="South Twickenham"/>
  </r>
  <r>
    <s v="18/0737/FUL"/>
    <x v="1"/>
    <x v="0"/>
    <d v="2018-12-12T00:00:00"/>
    <d v="2021-12-13T00:00:00"/>
    <d v="2019-01-08T00:00:00"/>
    <d v="2020-02-07T00:00:00"/>
    <x v="0"/>
    <x v="0"/>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x v="0"/>
    <n v="1"/>
    <n v="0"/>
    <n v="0"/>
    <n v="0"/>
    <n v="0"/>
    <n v="0"/>
    <m/>
    <m/>
    <m/>
    <m/>
    <m/>
    <n v="0"/>
    <n v="521322"/>
    <n v="175815"/>
    <s v="Mortlake and Barnes Common"/>
  </r>
  <r>
    <s v="18/0743/FUL"/>
    <x v="0"/>
    <x v="0"/>
    <d v="2018-08-23T00:00:00"/>
    <d v="2021-08-23T00:00:00"/>
    <m/>
    <d v="2019-05-28T00:00:00"/>
    <x v="0"/>
    <x v="0"/>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x v="0"/>
    <n v="1"/>
    <n v="0"/>
    <n v="0"/>
    <n v="0"/>
    <n v="0"/>
    <n v="0"/>
    <m/>
    <m/>
    <m/>
    <m/>
    <m/>
    <n v="0"/>
    <n v="514675"/>
    <n v="172117"/>
    <s v="West Twickenham"/>
  </r>
  <r>
    <s v="18/0745/FUL"/>
    <x v="2"/>
    <x v="0"/>
    <d v="2018-07-06T00:00:00"/>
    <d v="2021-07-06T00:00:00"/>
    <d v="2018-10-01T00:00:00"/>
    <d v="2019-10-15T00:00:00"/>
    <x v="0"/>
    <x v="0"/>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x v="0"/>
    <n v="1"/>
    <n v="0"/>
    <n v="0"/>
    <n v="0"/>
    <n v="0"/>
    <n v="0"/>
    <m/>
    <m/>
    <m/>
    <m/>
    <m/>
    <n v="0"/>
    <n v="516418"/>
    <n v="171190"/>
    <s v="Teddington"/>
  </r>
  <r>
    <s v="18/0860/GPD15"/>
    <x v="1"/>
    <x v="1"/>
    <d v="2018-05-08T00:00:00"/>
    <d v="2021-05-08T00:00:00"/>
    <m/>
    <d v="2019-06-14T00:00:00"/>
    <x v="0"/>
    <x v="0"/>
    <m/>
    <s v="Change of use from B1(c) to C3 to provide seven new self-contained studio residential dwellings."/>
    <s v="2 Elmfield Avenue_x000d_Teddington_x000d_TW11 8BS_x000d_"/>
    <s v="TW11 8BS"/>
    <m/>
    <m/>
    <m/>
    <m/>
    <m/>
    <m/>
    <m/>
    <m/>
    <n v="0"/>
    <m/>
    <n v="7"/>
    <m/>
    <m/>
    <m/>
    <m/>
    <m/>
    <m/>
    <m/>
    <n v="7"/>
    <n v="7"/>
    <n v="0"/>
    <n v="0"/>
    <n v="0"/>
    <n v="0"/>
    <n v="0"/>
    <n v="0"/>
    <n v="0"/>
    <n v="7"/>
    <x v="0"/>
    <n v="7"/>
    <n v="0"/>
    <n v="0"/>
    <n v="0"/>
    <n v="0"/>
    <n v="0"/>
    <m/>
    <m/>
    <m/>
    <m/>
    <m/>
    <n v="0"/>
    <n v="516011"/>
    <n v="171165"/>
    <s v="Teddington"/>
  </r>
  <r>
    <s v="18/1175/FUL"/>
    <x v="4"/>
    <x v="0"/>
    <d v="2018-10-05T00:00:00"/>
    <d v="2021-10-05T00:00:00"/>
    <d v="2019-05-17T00:00:00"/>
    <d v="2019-09-10T00:00:00"/>
    <x v="0"/>
    <x v="0"/>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x v="0"/>
    <n v="1"/>
    <n v="0"/>
    <n v="0"/>
    <n v="0"/>
    <n v="0"/>
    <n v="0"/>
    <m/>
    <m/>
    <m/>
    <m/>
    <m/>
    <n v="0"/>
    <n v="518588"/>
    <n v="175372"/>
    <s v="North Richmond"/>
  </r>
  <r>
    <s v="18/1360/GPD15"/>
    <x v="1"/>
    <x v="1"/>
    <d v="2018-06-15T00:00:00"/>
    <d v="2021-06-15T00:00:00"/>
    <d v="2019-05-03T00:00:00"/>
    <d v="2019-09-12T00:00:00"/>
    <x v="0"/>
    <x v="0"/>
    <m/>
    <s v="Change of use of ground floor from B1 (office) to C3 (dwellinghouse) to provide a 1 bedroom unit."/>
    <s v="1 Coval Passage_x000d_East Sheen_x000d_London_x000d_SW14 7RE_x000d_"/>
    <s v="SW14 7RE"/>
    <m/>
    <m/>
    <m/>
    <m/>
    <m/>
    <m/>
    <m/>
    <m/>
    <n v="0"/>
    <m/>
    <n v="1"/>
    <m/>
    <m/>
    <m/>
    <m/>
    <m/>
    <m/>
    <m/>
    <n v="1"/>
    <n v="1"/>
    <n v="0"/>
    <n v="0"/>
    <n v="0"/>
    <n v="0"/>
    <n v="0"/>
    <n v="0"/>
    <n v="0"/>
    <n v="1"/>
    <x v="0"/>
    <n v="1"/>
    <n v="0"/>
    <n v="0"/>
    <n v="0"/>
    <n v="0"/>
    <n v="0"/>
    <m/>
    <m/>
    <m/>
    <m/>
    <m/>
    <n v="0"/>
    <n v="520124"/>
    <n v="175293"/>
    <s v="East Sheen"/>
  </r>
  <r>
    <s v="18/1566/FUL"/>
    <x v="2"/>
    <x v="0"/>
    <d v="2018-09-25T00:00:00"/>
    <d v="2021-09-25T00:00:00"/>
    <d v="2019-01-31T00:00:00"/>
    <d v="2019-10-10T00:00:00"/>
    <x v="0"/>
    <x v="0"/>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x v="0"/>
    <n v="2"/>
    <n v="0"/>
    <n v="0"/>
    <n v="0"/>
    <n v="0"/>
    <n v="0"/>
    <m/>
    <m/>
    <m/>
    <m/>
    <m/>
    <n v="0"/>
    <n v="515965"/>
    <n v="173782"/>
    <s v="St. Margarets and North Twickenham"/>
  </r>
  <r>
    <s v="18/1569/FUL"/>
    <x v="2"/>
    <x v="0"/>
    <d v="2018-08-17T00:00:00"/>
    <d v="2022-03-11T00:00:00"/>
    <d v="2019-03-31T00:00:00"/>
    <d v="2019-05-31T00:00:00"/>
    <x v="0"/>
    <x v="0"/>
    <m/>
    <s v="Reversion of to two self-contained flats into single family dwelling house."/>
    <s v="14 Norman Avenue_x000d_Twickenham_x000d_TW1 2LY"/>
    <s v="TW1 2LY"/>
    <m/>
    <n v="2"/>
    <m/>
    <m/>
    <m/>
    <m/>
    <m/>
    <m/>
    <n v="2"/>
    <m/>
    <m/>
    <m/>
    <m/>
    <n v="1"/>
    <m/>
    <m/>
    <m/>
    <m/>
    <n v="1"/>
    <n v="0"/>
    <n v="-2"/>
    <n v="0"/>
    <n v="1"/>
    <n v="0"/>
    <n v="0"/>
    <n v="0"/>
    <n v="0"/>
    <n v="-1"/>
    <x v="0"/>
    <n v="-1"/>
    <n v="0"/>
    <n v="0"/>
    <n v="0"/>
    <n v="0"/>
    <n v="0"/>
    <m/>
    <m/>
    <m/>
    <m/>
    <m/>
    <n v="0"/>
    <n v="516997"/>
    <n v="173966"/>
    <s v="Twickenham Riverside"/>
  </r>
  <r>
    <s v="18/1722/GPD13"/>
    <x v="1"/>
    <x v="1"/>
    <d v="2018-07-12T00:00:00"/>
    <d v="2021-07-12T00:00:00"/>
    <d v="2018-04-02T00:00:00"/>
    <d v="2019-10-14T00:00:00"/>
    <x v="0"/>
    <x v="0"/>
    <m/>
    <s v="Change of use from A1(Retail) to C3 (Residential) to create a two bedroom flat."/>
    <s v="Ground Floor_x000d_204 Stanley Road_x000d_Teddington_x000d_TW11 8UE_x000d_"/>
    <s v="TW11 8UE"/>
    <m/>
    <m/>
    <m/>
    <m/>
    <m/>
    <m/>
    <m/>
    <m/>
    <n v="0"/>
    <m/>
    <m/>
    <n v="1"/>
    <m/>
    <m/>
    <m/>
    <m/>
    <m/>
    <m/>
    <n v="1"/>
    <n v="0"/>
    <n v="1"/>
    <n v="0"/>
    <n v="0"/>
    <n v="0"/>
    <n v="0"/>
    <n v="0"/>
    <n v="0"/>
    <n v="1"/>
    <x v="0"/>
    <n v="1"/>
    <n v="0"/>
    <n v="0"/>
    <n v="0"/>
    <n v="0"/>
    <n v="0"/>
    <m/>
    <m/>
    <m/>
    <m/>
    <m/>
    <n v="0"/>
    <n v="515113"/>
    <n v="171634"/>
    <s v="Fulwell and Hampton Hill"/>
  </r>
  <r>
    <s v="18/1817/GPD15"/>
    <x v="1"/>
    <x v="1"/>
    <d v="2018-06-29T00:00:00"/>
    <d v="2021-06-29T00:00:00"/>
    <m/>
    <d v="2020-02-21T00:00:00"/>
    <x v="0"/>
    <x v="0"/>
    <m/>
    <s v="Change of use from an office (Use Class B1(a)) to residential (Use Class C3) to provide 1 x 4 bed dwellinghouse."/>
    <s v="9 Elmtree Road_x000d_Teddington_x000d_TW11 8SJ_x000d_"/>
    <s v="TW11 8SJ"/>
    <m/>
    <m/>
    <m/>
    <m/>
    <m/>
    <m/>
    <m/>
    <m/>
    <n v="0"/>
    <m/>
    <m/>
    <m/>
    <m/>
    <n v="1"/>
    <m/>
    <m/>
    <m/>
    <m/>
    <n v="1"/>
    <n v="0"/>
    <n v="0"/>
    <n v="0"/>
    <n v="1"/>
    <n v="0"/>
    <n v="0"/>
    <n v="0"/>
    <n v="0"/>
    <n v="1"/>
    <x v="0"/>
    <n v="1"/>
    <n v="0"/>
    <n v="0"/>
    <n v="0"/>
    <n v="0"/>
    <n v="0"/>
    <m/>
    <m/>
    <m/>
    <m/>
    <m/>
    <n v="0"/>
    <n v="515379"/>
    <n v="171492"/>
    <s v="Fulwell and Hampton Hill"/>
  </r>
  <r>
    <s v="18/2296/ES191"/>
    <x v="2"/>
    <x v="0"/>
    <d v="2018-08-20T00:00:00"/>
    <d v="2019-11-29T00:00:00"/>
    <m/>
    <d v="2019-11-29T00:00:00"/>
    <x v="0"/>
    <x v="0"/>
    <m/>
    <s v="Use of the ground floor (left annex) as a self-contained dwelling (C3)."/>
    <s v="706A Hanworth Road_x000d_Whitton_x000d_Hounslow_x000d_TW4 5NT_x000d_"/>
    <s v="TW4 5NT"/>
    <m/>
    <m/>
    <m/>
    <m/>
    <n v="1"/>
    <m/>
    <m/>
    <m/>
    <n v="1"/>
    <m/>
    <m/>
    <n v="1"/>
    <n v="1"/>
    <m/>
    <m/>
    <m/>
    <m/>
    <m/>
    <n v="2"/>
    <n v="0"/>
    <n v="1"/>
    <n v="1"/>
    <n v="0"/>
    <n v="-1"/>
    <n v="0"/>
    <n v="0"/>
    <n v="0"/>
    <n v="1"/>
    <x v="0"/>
    <n v="1"/>
    <n v="0"/>
    <n v="0"/>
    <n v="0"/>
    <n v="0"/>
    <n v="0"/>
    <m/>
    <m/>
    <m/>
    <m/>
    <m/>
    <n v="0"/>
    <n v="512613"/>
    <n v="173404"/>
    <s v="Heathfield"/>
  </r>
  <r>
    <s v="18/2620/FUL"/>
    <x v="4"/>
    <x v="0"/>
    <d v="2019-01-04T00:00:00"/>
    <d v="2022-01-04T00:00:00"/>
    <d v="2018-04-02T00:00:00"/>
    <d v="2019-12-02T00:00:00"/>
    <x v="0"/>
    <x v="0"/>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x v="0"/>
    <n v="1"/>
    <n v="0"/>
    <n v="0"/>
    <n v="0"/>
    <n v="0"/>
    <n v="0"/>
    <m/>
    <m/>
    <m/>
    <m/>
    <m/>
    <n v="0"/>
    <n v="515112"/>
    <n v="171634"/>
    <s v="Fulwell and Hampton Hill"/>
  </r>
  <r>
    <s v="19/0141/ES191"/>
    <x v="1"/>
    <x v="0"/>
    <d v="2019-06-21T00:00:00"/>
    <d v="2019-06-21T00:00:00"/>
    <d v="2019-06-21T00:00:00"/>
    <d v="2019-06-21T00:00:00"/>
    <x v="0"/>
    <x v="0"/>
    <m/>
    <s v="Continued use of part of the property (excluding Unit 1) as 2No. flats in multiple occupation for upto 6 people."/>
    <s v="The Boathouse Ranelagh Drive Twickenham TW1 1QZ"/>
    <s v="TW1 1QZ"/>
    <m/>
    <m/>
    <m/>
    <m/>
    <m/>
    <m/>
    <m/>
    <m/>
    <n v="0"/>
    <m/>
    <m/>
    <m/>
    <m/>
    <n v="0"/>
    <n v="0"/>
    <m/>
    <m/>
    <m/>
    <n v="0"/>
    <n v="0"/>
    <n v="0"/>
    <n v="0"/>
    <n v="0"/>
    <n v="0"/>
    <n v="0"/>
    <n v="0"/>
    <n v="0"/>
    <n v="0"/>
    <x v="0"/>
    <n v="0"/>
    <n v="0"/>
    <n v="0"/>
    <n v="0"/>
    <n v="0"/>
    <n v="0"/>
    <m/>
    <m/>
    <m/>
    <m/>
    <m/>
    <n v="0"/>
    <n v="516877"/>
    <n v="175059"/>
    <s v="St. Margarets and North Twickenham"/>
  </r>
  <r>
    <s v="19/0475/FUL"/>
    <x v="3"/>
    <x v="0"/>
    <d v="2019-07-31T00:00:00"/>
    <d v="2022-07-31T00:00:00"/>
    <m/>
    <d v="2020-02-26T00:00:00"/>
    <x v="0"/>
    <x v="0"/>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x v="0"/>
    <n v="7"/>
    <n v="0"/>
    <n v="0"/>
    <n v="0"/>
    <n v="0"/>
    <n v="0"/>
    <m/>
    <m/>
    <m/>
    <m/>
    <m/>
    <n v="0"/>
    <n v="514280"/>
    <n v="170996"/>
    <s v="Fulwell and Hampton Hill"/>
  </r>
  <r>
    <s v="19/0739/FUL"/>
    <x v="2"/>
    <x v="0"/>
    <d v="2019-10-23T00:00:00"/>
    <d v="2022-10-23T00:00:00"/>
    <m/>
    <d v="2019-10-23T00:00:00"/>
    <x v="0"/>
    <x v="0"/>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x v="0"/>
    <n v="1"/>
    <n v="0"/>
    <n v="0"/>
    <n v="0"/>
    <n v="0"/>
    <n v="0"/>
    <m/>
    <m/>
    <m/>
    <m/>
    <m/>
    <n v="0"/>
    <n v="519011"/>
    <n v="176963"/>
    <s v="Kew"/>
  </r>
  <r>
    <s v="19/1100/FUL"/>
    <x v="1"/>
    <x v="0"/>
    <d v="2019-10-10T00:00:00"/>
    <d v="2022-10-10T00:00:00"/>
    <d v="2019-10-01T00:00:00"/>
    <d v="2020-01-31T00:00:00"/>
    <x v="0"/>
    <x v="0"/>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x v="0"/>
    <n v="1"/>
    <n v="0"/>
    <n v="0"/>
    <n v="0"/>
    <n v="0"/>
    <n v="0"/>
    <m/>
    <m/>
    <m/>
    <m/>
    <m/>
    <n v="0"/>
    <n v="516817"/>
    <n v="174222"/>
    <s v="St. Margarets and North Twickenham"/>
  </r>
  <r>
    <s v="19/1217/ES191"/>
    <x v="2"/>
    <x v="0"/>
    <d v="2019-06-11T00:00:00"/>
    <d v="2019-06-11T00:00:00"/>
    <d v="2019-06-11T00:00:00"/>
    <d v="2019-06-11T00:00:00"/>
    <x v="0"/>
    <x v="0"/>
    <m/>
    <s v="Establish use of property as a separate self-contained dwellinghouse"/>
    <s v="1A Riverside House_x000d_Riverside_x000d_Twickenham_x000d_TW1 3DJ_x000d_"/>
    <s v="TW1 3DJ"/>
    <m/>
    <m/>
    <m/>
    <m/>
    <m/>
    <m/>
    <n v="1"/>
    <m/>
    <n v="1"/>
    <m/>
    <m/>
    <m/>
    <n v="1"/>
    <n v="1"/>
    <m/>
    <m/>
    <m/>
    <m/>
    <n v="2"/>
    <n v="0"/>
    <n v="0"/>
    <n v="1"/>
    <n v="1"/>
    <n v="0"/>
    <n v="0"/>
    <n v="-1"/>
    <n v="0"/>
    <n v="1"/>
    <x v="0"/>
    <n v="1"/>
    <n v="0"/>
    <n v="0"/>
    <n v="0"/>
    <n v="0"/>
    <n v="0"/>
    <m/>
    <m/>
    <m/>
    <m/>
    <m/>
    <n v="0"/>
    <n v="516873"/>
    <n v="173350"/>
    <s v="Twickenham Riverside"/>
  </r>
  <r>
    <s v="19/2022/ES191"/>
    <x v="2"/>
    <x v="0"/>
    <d v="2019-09-16T00:00:00"/>
    <d v="2022-09-17T00:00:00"/>
    <m/>
    <d v="2019-09-17T00:00:00"/>
    <x v="0"/>
    <x v="0"/>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x v="0"/>
    <n v="-1"/>
    <n v="0"/>
    <n v="0"/>
    <n v="0"/>
    <n v="0"/>
    <n v="0"/>
    <m/>
    <m/>
    <m/>
    <m/>
    <m/>
    <n v="0"/>
    <n v="516420"/>
    <n v="171274"/>
    <s v="Teddington"/>
  </r>
  <r>
    <s v="19/2544/FUL"/>
    <x v="1"/>
    <x v="0"/>
    <d v="2019-12-10T00:00:00"/>
    <d v="2022-12-10T00:00:00"/>
    <m/>
    <d v="2019-12-14T00:00:00"/>
    <x v="0"/>
    <x v="0"/>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x v="0"/>
    <n v="-1"/>
    <n v="0"/>
    <n v="0"/>
    <n v="0"/>
    <n v="0"/>
    <n v="0"/>
    <m/>
    <m/>
    <m/>
    <m/>
    <m/>
    <n v="0"/>
    <n v="513192"/>
    <n v="171188"/>
    <s v="Hampton North"/>
  </r>
  <r>
    <s v="19/3241/FUL"/>
    <x v="4"/>
    <x v="0"/>
    <d v="2020-03-13T00:00:00"/>
    <d v="2023-03-16T00:00:00"/>
    <d v="2020-03-16T00:00:00"/>
    <d v="2020-03-16T00:00:00"/>
    <x v="0"/>
    <x v="0"/>
    <m/>
    <s v="Extension of the garage to facilitate the creation of 1 x 1 bed dwelling."/>
    <s v="Land Adjacent To_x000d_29 Rivermeads Avenue_x000d_Twickenham_x000d__x000d_"/>
    <s v="TW2 5JL"/>
    <m/>
    <m/>
    <m/>
    <m/>
    <m/>
    <m/>
    <m/>
    <m/>
    <n v="0"/>
    <m/>
    <n v="1"/>
    <m/>
    <m/>
    <m/>
    <m/>
    <m/>
    <m/>
    <m/>
    <n v="1"/>
    <n v="1"/>
    <n v="0"/>
    <n v="0"/>
    <n v="0"/>
    <n v="0"/>
    <n v="0"/>
    <n v="0"/>
    <n v="0"/>
    <n v="1"/>
    <x v="0"/>
    <n v="1"/>
    <n v="0"/>
    <n v="0"/>
    <n v="0"/>
    <n v="0"/>
    <n v="0"/>
    <m/>
    <m/>
    <m/>
    <m/>
    <m/>
    <n v="0"/>
    <n v="513712"/>
    <n v="172398"/>
    <s v="West Twickenham"/>
  </r>
  <r>
    <s v="19/3586/ES191"/>
    <x v="1"/>
    <x v="0"/>
    <d v="2020-01-20T00:00:00"/>
    <d v="2020-01-20T00:00:00"/>
    <m/>
    <d v="2020-01-20T00:00:00"/>
    <x v="0"/>
    <x v="0"/>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x v="0"/>
    <n v="-1"/>
    <n v="0"/>
    <n v="0"/>
    <n v="0"/>
    <n v="0"/>
    <n v="0"/>
    <m/>
    <m/>
    <m/>
    <m/>
    <m/>
    <n v="0"/>
    <n v="512883"/>
    <n v="173656"/>
    <s v="Heathfield"/>
  </r>
  <r>
    <s v="19/3757/ES191"/>
    <x v="2"/>
    <x v="0"/>
    <d v="2020-01-31T00:00:00"/>
    <d v="2020-01-31T00:00:00"/>
    <m/>
    <d v="2020-01-31T00:00:00"/>
    <x v="0"/>
    <x v="0"/>
    <m/>
    <s v="Use of 2B Orleans Road as a separate and self-contained C3 dwellinghouse."/>
    <s v="2B Orleans Road_x000d_Twickenham_x000d_TW1 3BL"/>
    <s v="TW1 3BL"/>
    <m/>
    <m/>
    <m/>
    <m/>
    <m/>
    <m/>
    <m/>
    <m/>
    <n v="0"/>
    <m/>
    <n v="1"/>
    <m/>
    <m/>
    <m/>
    <m/>
    <m/>
    <m/>
    <m/>
    <n v="1"/>
    <n v="1"/>
    <n v="0"/>
    <n v="0"/>
    <n v="0"/>
    <n v="0"/>
    <n v="0"/>
    <n v="0"/>
    <n v="0"/>
    <n v="1"/>
    <x v="0"/>
    <n v="1"/>
    <n v="0"/>
    <n v="0"/>
    <n v="0"/>
    <n v="0"/>
    <n v="0"/>
    <m/>
    <m/>
    <m/>
    <m/>
    <m/>
    <n v="0"/>
    <n v="516930"/>
    <n v="173775"/>
    <s v="Twickenham Riverside"/>
  </r>
  <r>
    <s v="19/3854/ES191"/>
    <x v="1"/>
    <x v="0"/>
    <d v="2020-02-25T00:00:00"/>
    <d v="2020-02-25T00:00:00"/>
    <m/>
    <d v="2020-02-25T00:00:00"/>
    <x v="0"/>
    <x v="0"/>
    <m/>
    <s v="Use of Flat 1 (basement) as  C3 residential."/>
    <s v="Flat 1_x000d_Heron Court_x000d_3 - 5 High Street_x000d_Hampton_x000d_TW12 2SQ_x000d_"/>
    <s v="TW12 2SQ"/>
    <m/>
    <m/>
    <m/>
    <m/>
    <m/>
    <m/>
    <m/>
    <m/>
    <n v="0"/>
    <m/>
    <m/>
    <n v="1"/>
    <m/>
    <m/>
    <m/>
    <m/>
    <m/>
    <m/>
    <n v="1"/>
    <n v="0"/>
    <n v="1"/>
    <n v="0"/>
    <n v="0"/>
    <n v="0"/>
    <n v="0"/>
    <n v="0"/>
    <n v="0"/>
    <n v="1"/>
    <x v="0"/>
    <n v="1"/>
    <n v="0"/>
    <n v="0"/>
    <n v="0"/>
    <n v="0"/>
    <n v="0"/>
    <m/>
    <m/>
    <m/>
    <m/>
    <m/>
    <n v="0"/>
    <n v="513949"/>
    <n v="169534"/>
    <s v="Hampton"/>
  </r>
  <r>
    <s v="99/2063"/>
    <x v="0"/>
    <x v="0"/>
    <d v="2000-02-03T00:00:00"/>
    <d v="2005-02-03T00:00:00"/>
    <d v="2005-01-14T00:00:00"/>
    <d v="2019-07-18T00:00:00"/>
    <x v="0"/>
    <x v="0"/>
    <m/>
    <s v="Proposed Dwelling House"/>
    <s v="6 Boileau Road Barnes"/>
    <m/>
    <m/>
    <m/>
    <m/>
    <m/>
    <m/>
    <m/>
    <m/>
    <m/>
    <n v="0"/>
    <m/>
    <n v="1"/>
    <m/>
    <m/>
    <m/>
    <m/>
    <m/>
    <m/>
    <n v="0"/>
    <n v="1"/>
    <n v="1"/>
    <n v="0"/>
    <n v="0"/>
    <n v="0"/>
    <n v="0"/>
    <n v="0"/>
    <n v="0"/>
    <n v="0"/>
    <n v="1"/>
    <x v="0"/>
    <n v="1"/>
    <n v="0"/>
    <n v="0"/>
    <n v="0"/>
    <n v="0"/>
    <n v="0"/>
    <m/>
    <m/>
    <m/>
    <m/>
    <m/>
    <n v="0"/>
    <n v="522457"/>
    <n v="177328"/>
    <s v="Barnes"/>
  </r>
  <r>
    <s v="13/0998/FUL"/>
    <x v="0"/>
    <x v="0"/>
    <d v="2013-11-05T00:00:00"/>
    <d v="2016-11-05T00:00:00"/>
    <d v="2016-08-14T00:00:00"/>
    <m/>
    <x v="1"/>
    <x v="0"/>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x v="0"/>
    <n v="0"/>
    <n v="2"/>
    <n v="0"/>
    <n v="0"/>
    <n v="0"/>
    <n v="0"/>
    <m/>
    <m/>
    <m/>
    <m/>
    <m/>
    <n v="2"/>
    <n v="515074"/>
    <n v="171654"/>
    <s v="Fulwell and Hampton Hill"/>
  </r>
  <r>
    <s v="19/0637/FUL"/>
    <x v="0"/>
    <x v="0"/>
    <d v="2020-02-06T00:00:00"/>
    <d v="2023-02-06T00:00:00"/>
    <d v="2020-09-21T00:00:00"/>
    <m/>
    <x v="1"/>
    <x v="0"/>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x v="0"/>
    <n v="0"/>
    <n v="4"/>
    <n v="4"/>
    <n v="0"/>
    <n v="0"/>
    <n v="0"/>
    <m/>
    <m/>
    <m/>
    <m/>
    <m/>
    <n v="8"/>
    <n v="519026"/>
    <n v="175926"/>
    <s v="Kew"/>
  </r>
  <r>
    <s v="19/2246/FUL"/>
    <x v="2"/>
    <x v="0"/>
    <d v="2019-10-22T00:00:00"/>
    <d v="2022-10-22T00:00:00"/>
    <m/>
    <d v="2020-06-15T00:00:00"/>
    <x v="1"/>
    <x v="0"/>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x v="0"/>
    <n v="0"/>
    <n v="-1"/>
    <n v="0"/>
    <n v="0"/>
    <n v="0"/>
    <n v="0"/>
    <m/>
    <m/>
    <m/>
    <m/>
    <m/>
    <n v="-1"/>
    <n v="516802"/>
    <n v="171333"/>
    <s v="Teddington"/>
  </r>
  <r>
    <s v="07/3348/FUL"/>
    <x v="0"/>
    <x v="0"/>
    <d v="2008-04-01T00:00:00"/>
    <d v="2011-04-01T00:00:00"/>
    <d v="2012-08-17T00:00:00"/>
    <m/>
    <x v="1"/>
    <x v="0"/>
    <m/>
    <s v="Demolition of existing house and outbuildings, construction of 3 houses."/>
    <s v="289 Petersham Road_x000d_Richmond_x000d_Surrey_x000d_TW10 7DA_x000d_"/>
    <m/>
    <m/>
    <m/>
    <m/>
    <n v="1"/>
    <m/>
    <m/>
    <m/>
    <m/>
    <n v="1"/>
    <m/>
    <n v="1"/>
    <m/>
    <m/>
    <n v="2"/>
    <m/>
    <m/>
    <m/>
    <m/>
    <n v="3"/>
    <n v="1"/>
    <n v="0"/>
    <n v="0"/>
    <n v="1"/>
    <n v="0"/>
    <n v="0"/>
    <n v="0"/>
    <n v="0"/>
    <n v="2"/>
    <x v="0"/>
    <n v="0"/>
    <n v="2"/>
    <n v="0"/>
    <n v="0"/>
    <n v="0"/>
    <n v="0"/>
    <m/>
    <m/>
    <m/>
    <m/>
    <m/>
    <n v="2"/>
    <n v="517856"/>
    <n v="172364"/>
    <s v="Ham, Petersham and Richmond Riverside"/>
  </r>
  <r>
    <s v="11/1443/FUL"/>
    <x v="0"/>
    <x v="0"/>
    <d v="2012-03-30T00:00:00"/>
    <d v="2015-03-30T00:00:00"/>
    <d v="2015-03-14T00:00:00"/>
    <m/>
    <x v="1"/>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x v="0"/>
    <n v="0"/>
    <n v="35.666666666666664"/>
    <n v="35.666666666666664"/>
    <n v="35.666666666666664"/>
    <n v="0"/>
    <n v="0"/>
    <m/>
    <m/>
    <m/>
    <m/>
    <m/>
    <n v="107"/>
    <n v="516095"/>
    <n v="173690"/>
    <s v="St. Margarets and North Twickenham"/>
  </r>
  <r>
    <s v="13/1327/FUL"/>
    <x v="1"/>
    <x v="0"/>
    <d v="2013-09-03T00:00:00"/>
    <d v="2016-09-03T00:00:00"/>
    <d v="2016-08-19T00:00:00"/>
    <m/>
    <x v="1"/>
    <x v="0"/>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x v="0"/>
    <n v="0"/>
    <n v="0"/>
    <n v="-1"/>
    <n v="0"/>
    <n v="0"/>
    <n v="0"/>
    <m/>
    <m/>
    <m/>
    <m/>
    <m/>
    <n v="-1"/>
    <n v="518397"/>
    <n v="173968"/>
    <s v="Ham, Petersham and Richmond Riverside"/>
  </r>
  <r>
    <s v="14/2118/FUL"/>
    <x v="2"/>
    <x v="0"/>
    <d v="2014-07-18T00:00:00"/>
    <d v="2018-01-19T00:00:00"/>
    <d v="2017-10-01T00:00:00"/>
    <m/>
    <x v="1"/>
    <x v="0"/>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x v="0"/>
    <n v="0"/>
    <n v="-2"/>
    <n v="0"/>
    <n v="0"/>
    <n v="0"/>
    <n v="0"/>
    <m/>
    <m/>
    <m/>
    <m/>
    <m/>
    <n v="-2"/>
    <n v="520243"/>
    <n v="175216"/>
    <s v="East Sheen"/>
  </r>
  <r>
    <s v="14/2257/FUL"/>
    <x v="3"/>
    <x v="0"/>
    <d v="2015-03-26T00:00:00"/>
    <d v="2018-03-27T00:00:00"/>
    <d v="2016-06-01T00:00:00"/>
    <m/>
    <x v="1"/>
    <x v="0"/>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x v="0"/>
    <n v="0"/>
    <n v="3"/>
    <n v="0"/>
    <n v="0"/>
    <n v="0"/>
    <n v="0"/>
    <m/>
    <m/>
    <m/>
    <m/>
    <m/>
    <n v="3"/>
    <n v="513482"/>
    <n v="173963"/>
    <s v="Heathfield"/>
  </r>
  <r>
    <s v="14/2797/P3JPA"/>
    <x v="1"/>
    <x v="1"/>
    <d v="2015-08-20T00:00:00"/>
    <d v="2017-11-27T00:00:00"/>
    <d v="2017-06-30T00:00:00"/>
    <m/>
    <x v="1"/>
    <x v="0"/>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x v="0"/>
    <n v="0"/>
    <n v="6"/>
    <n v="0"/>
    <n v="0"/>
    <n v="0"/>
    <n v="0"/>
    <m/>
    <m/>
    <m/>
    <m/>
    <m/>
    <n v="6"/>
    <n v="515206"/>
    <n v="173341"/>
    <s v="South Twickenham"/>
  </r>
  <r>
    <s v="14/3011/FUL"/>
    <x v="1"/>
    <x v="0"/>
    <d v="2015-04-17T00:00:00"/>
    <d v="2018-04-20T00:00:00"/>
    <d v="2018-04-04T00:00:00"/>
    <m/>
    <x v="1"/>
    <x v="0"/>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x v="0"/>
    <n v="0"/>
    <n v="5"/>
    <n v="0"/>
    <n v="0"/>
    <n v="0"/>
    <n v="0"/>
    <m/>
    <m/>
    <m/>
    <m/>
    <m/>
    <n v="5"/>
    <n v="515537"/>
    <n v="170973"/>
    <s v="Teddington"/>
  </r>
  <r>
    <s v="14/3780/FUL"/>
    <x v="3"/>
    <x v="0"/>
    <d v="2015-04-30T00:00:00"/>
    <d v="2018-04-30T00:00:00"/>
    <d v="2016-07-01T00:00:00"/>
    <m/>
    <x v="1"/>
    <x v="0"/>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x v="0"/>
    <n v="8"/>
    <n v="8"/>
    <n v="0"/>
    <n v="0"/>
    <n v="0"/>
    <n v="0"/>
    <m/>
    <m/>
    <m/>
    <m/>
    <m/>
    <n v="8"/>
    <n v="517917"/>
    <n v="175196"/>
    <s v="South Richmond"/>
  </r>
  <r>
    <s v="14/4839/FUL"/>
    <x v="0"/>
    <x v="0"/>
    <d v="2016-07-14T00:00:00"/>
    <d v="2019-07-14T00:00:00"/>
    <d v="2019-06-01T00:00:00"/>
    <m/>
    <x v="1"/>
    <x v="0"/>
    <m/>
    <s v="Demolition of existing house and construction of a new 3 bedroom house."/>
    <s v="The Cottage_x000d_Eel Pie Island_x000d_Twickenham_x000d_TW1 3DY_x000d_"/>
    <m/>
    <m/>
    <n v="1"/>
    <m/>
    <m/>
    <m/>
    <m/>
    <m/>
    <m/>
    <n v="1"/>
    <m/>
    <m/>
    <m/>
    <n v="1"/>
    <m/>
    <m/>
    <m/>
    <m/>
    <m/>
    <n v="1"/>
    <n v="0"/>
    <n v="-1"/>
    <n v="1"/>
    <n v="0"/>
    <n v="0"/>
    <n v="0"/>
    <n v="0"/>
    <n v="0"/>
    <n v="0"/>
    <x v="0"/>
    <n v="0"/>
    <n v="0"/>
    <n v="0"/>
    <n v="0"/>
    <n v="0"/>
    <n v="0"/>
    <m/>
    <m/>
    <m/>
    <m/>
    <m/>
    <n v="0"/>
    <n v="516355"/>
    <n v="173076"/>
    <s v="Twickenham Riverside"/>
  </r>
  <r>
    <s v="14/5284/FUL"/>
    <x v="2"/>
    <x v="0"/>
    <d v="2015-02-16T00:00:00"/>
    <d v="2018-02-16T00:00:00"/>
    <d v="2018-03-23T00:00:00"/>
    <m/>
    <x v="1"/>
    <x v="0"/>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x v="0"/>
    <n v="0"/>
    <n v="-1"/>
    <n v="0"/>
    <n v="0"/>
    <n v="0"/>
    <n v="0"/>
    <m/>
    <m/>
    <m/>
    <m/>
    <m/>
    <n v="-1"/>
    <n v="518090"/>
    <n v="174701"/>
    <s v="South Richmond"/>
  </r>
  <r>
    <s v="14/5306/FUL"/>
    <x v="1"/>
    <x v="0"/>
    <d v="2015-06-22T00:00:00"/>
    <d v="2018-06-22T00:00:00"/>
    <d v="2017-05-01T00:00:00"/>
    <m/>
    <x v="1"/>
    <x v="0"/>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x v="0"/>
    <n v="0"/>
    <n v="0"/>
    <n v="0"/>
    <n v="0"/>
    <n v="0"/>
    <n v="0"/>
    <m/>
    <m/>
    <m/>
    <m/>
    <m/>
    <n v="0"/>
    <n v="518248"/>
    <n v="175334"/>
    <s v="North Richmond"/>
  </r>
  <r>
    <s v="15/1486/FUL"/>
    <x v="0"/>
    <x v="0"/>
    <d v="2015-07-16T00:00:00"/>
    <d v="2018-07-16T00:00:00"/>
    <d v="2018-06-04T00:00:00"/>
    <m/>
    <x v="1"/>
    <x v="0"/>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x v="0"/>
    <n v="0"/>
    <n v="1"/>
    <n v="0"/>
    <n v="0"/>
    <n v="0"/>
    <n v="0"/>
    <m/>
    <m/>
    <m/>
    <m/>
    <m/>
    <n v="1"/>
    <n v="512819"/>
    <n v="173657"/>
    <s v="Heathfield"/>
  </r>
  <r>
    <s v="15/2854/FUL"/>
    <x v="0"/>
    <x v="0"/>
    <d v="2016-06-02T00:00:00"/>
    <d v="2019-06-02T00:00:00"/>
    <d v="2019-05-01T00:00:00"/>
    <m/>
    <x v="1"/>
    <x v="1"/>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x v="0"/>
    <n v="0"/>
    <n v="2"/>
    <n v="0"/>
    <n v="0"/>
    <n v="0"/>
    <n v="0"/>
    <m/>
    <m/>
    <m/>
    <m/>
    <m/>
    <n v="2"/>
    <n v="517050"/>
    <n v="172680"/>
    <s v="Ham, Petersham and Richmond Riverside"/>
  </r>
  <r>
    <s v="15/2855/FUL"/>
    <x v="0"/>
    <x v="0"/>
    <d v="2016-06-02T00:00:00"/>
    <d v="2019-06-02T00:00:00"/>
    <d v="2019-05-28T00:00:00"/>
    <m/>
    <x v="1"/>
    <x v="1"/>
    <m/>
    <s v="Demolition of 20 garages in two rows; Construction of two three-bedroom houses"/>
    <s v="Garages At_x000d_Maguire Drive_x000d_Ham_x000d__x000d_"/>
    <m/>
    <m/>
    <m/>
    <m/>
    <m/>
    <m/>
    <m/>
    <m/>
    <m/>
    <n v="0"/>
    <s v="Y"/>
    <m/>
    <m/>
    <n v="2"/>
    <m/>
    <m/>
    <m/>
    <m/>
    <n v="2"/>
    <n v="2"/>
    <n v="0"/>
    <n v="0"/>
    <n v="2"/>
    <n v="0"/>
    <n v="0"/>
    <n v="0"/>
    <n v="0"/>
    <n v="0"/>
    <n v="2"/>
    <x v="0"/>
    <n v="0"/>
    <n v="2"/>
    <n v="0"/>
    <n v="0"/>
    <n v="0"/>
    <n v="0"/>
    <m/>
    <m/>
    <m/>
    <m/>
    <m/>
    <n v="2"/>
    <n v="517476"/>
    <n v="171658"/>
    <s v="Ham, Petersham and Richmond Riverside"/>
  </r>
  <r>
    <s v="15/2857/FUL"/>
    <x v="0"/>
    <x v="0"/>
    <d v="2016-11-17T00:00:00"/>
    <d v="2019-11-17T00:00:00"/>
    <d v="2019-10-16T00:00:00"/>
    <m/>
    <x v="1"/>
    <x v="1"/>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x v="0"/>
    <n v="0"/>
    <n v="3"/>
    <n v="0"/>
    <n v="0"/>
    <n v="0"/>
    <n v="0"/>
    <m/>
    <m/>
    <m/>
    <m/>
    <m/>
    <n v="3"/>
    <n v="517848"/>
    <n v="172830"/>
    <s v="Ham, Petersham and Richmond Riverside"/>
  </r>
  <r>
    <s v="15/3072/FUL"/>
    <x v="1"/>
    <x v="0"/>
    <d v="2016-10-07T00:00:00"/>
    <d v="2019-10-07T00:00:00"/>
    <d v="2018-03-01T00:00:00"/>
    <m/>
    <x v="1"/>
    <x v="0"/>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x v="0"/>
    <n v="0"/>
    <n v="6"/>
    <n v="0"/>
    <n v="0"/>
    <n v="0"/>
    <n v="0"/>
    <m/>
    <m/>
    <m/>
    <m/>
    <m/>
    <n v="6"/>
    <n v="516013"/>
    <n v="171023"/>
    <s v="Teddington"/>
  </r>
  <r>
    <s v="15/3518/FUL"/>
    <x v="0"/>
    <x v="0"/>
    <d v="2019-03-08T00:00:00"/>
    <d v="2022-03-08T00:00:00"/>
    <d v="2019-10-01T00:00:00"/>
    <m/>
    <x v="1"/>
    <x v="0"/>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x v="0"/>
    <n v="0"/>
    <n v="0"/>
    <n v="0"/>
    <n v="0"/>
    <n v="0"/>
    <n v="0"/>
    <m/>
    <m/>
    <m/>
    <m/>
    <m/>
    <n v="0"/>
    <n v="517831"/>
    <n v="174076"/>
    <s v="Twickenham Riverside"/>
  </r>
  <r>
    <s v="15/5217/NMA1"/>
    <x v="0"/>
    <x v="0"/>
    <d v="2019-10-11T00:00:00"/>
    <d v="2022-10-11T00:00:00"/>
    <d v="2019-10-16T00:00:00"/>
    <m/>
    <x v="1"/>
    <x v="0"/>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x v="0"/>
    <n v="0"/>
    <n v="8"/>
    <n v="0"/>
    <n v="0"/>
    <n v="0"/>
    <n v="0"/>
    <m/>
    <m/>
    <m/>
    <m/>
    <m/>
    <n v="8"/>
    <n v="518559"/>
    <n v="174698"/>
    <s v="South Richmond"/>
  </r>
  <r>
    <s v="15/5351/FUL"/>
    <x v="0"/>
    <x v="0"/>
    <d v="2017-04-06T00:00:00"/>
    <d v="2020-04-07T00:00:00"/>
    <d v="2020-02-23T00:00:00"/>
    <m/>
    <x v="1"/>
    <x v="0"/>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x v="0"/>
    <n v="0"/>
    <n v="1"/>
    <n v="0"/>
    <n v="0"/>
    <n v="0"/>
    <n v="0"/>
    <m/>
    <m/>
    <m/>
    <m/>
    <m/>
    <n v="1"/>
    <n v="514775"/>
    <n v="172397"/>
    <s v="West Twickenham"/>
  </r>
  <r>
    <s v="16/0058/FUL"/>
    <x v="1"/>
    <x v="0"/>
    <d v="2016-07-14T00:00:00"/>
    <d v="2019-07-14T00:00:00"/>
    <d v="2019-07-10T00:00:00"/>
    <m/>
    <x v="1"/>
    <x v="0"/>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x v="0"/>
    <n v="0"/>
    <n v="9"/>
    <n v="0"/>
    <n v="0"/>
    <n v="0"/>
    <n v="0"/>
    <m/>
    <m/>
    <m/>
    <m/>
    <m/>
    <n v="9"/>
    <n v="517924"/>
    <n v="174891"/>
    <s v="South Richmond"/>
  </r>
  <r>
    <s v="16/0432/FUL"/>
    <x v="0"/>
    <x v="0"/>
    <d v="2016-08-31T00:00:00"/>
    <d v="2019-08-31T00:00:00"/>
    <d v="2017-05-09T00:00:00"/>
    <m/>
    <x v="1"/>
    <x v="0"/>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x v="0"/>
    <n v="0"/>
    <n v="1"/>
    <n v="0"/>
    <n v="0"/>
    <n v="0"/>
    <n v="0"/>
    <m/>
    <m/>
    <m/>
    <m/>
    <m/>
    <n v="1"/>
    <n v="522622"/>
    <n v="177876"/>
    <s v="Barnes"/>
  </r>
  <r>
    <s v="16/0680/FUL"/>
    <x v="4"/>
    <x v="0"/>
    <d v="2016-04-19T00:00:00"/>
    <d v="2019-04-19T00:00:00"/>
    <d v="2016-07-01T00:00:00"/>
    <m/>
    <x v="1"/>
    <x v="0"/>
    <m/>
    <s v="Part demolition of single dwelling house and formation of two semi-detached houses."/>
    <s v="2 Firs Avenue_x000d_East Sheen_x000d_London_x000d_SW14 7NZ_x000d_"/>
    <m/>
    <m/>
    <m/>
    <m/>
    <n v="1"/>
    <m/>
    <m/>
    <m/>
    <m/>
    <n v="1"/>
    <m/>
    <m/>
    <m/>
    <m/>
    <n v="2"/>
    <m/>
    <m/>
    <m/>
    <m/>
    <n v="2"/>
    <n v="0"/>
    <n v="0"/>
    <n v="0"/>
    <n v="1"/>
    <n v="0"/>
    <n v="0"/>
    <n v="0"/>
    <n v="0"/>
    <n v="1"/>
    <x v="0"/>
    <n v="0"/>
    <n v="1"/>
    <n v="0"/>
    <n v="0"/>
    <n v="0"/>
    <n v="0"/>
    <m/>
    <m/>
    <m/>
    <m/>
    <m/>
    <n v="1"/>
    <n v="520343"/>
    <n v="175141"/>
    <s v="East Sheen"/>
  </r>
  <r>
    <s v="16/0905/FUL"/>
    <x v="0"/>
    <x v="0"/>
    <d v="2017-02-23T00:00:00"/>
    <d v="2020-02-23T00:00:00"/>
    <d v="2020-02-19T00:00:00"/>
    <m/>
    <x v="1"/>
    <x v="0"/>
    <m/>
    <s v="Demolition of the existing hall and the erection of a new community facility building and 6 flats"/>
    <s v="275 Sandycombe Road_x000d_Richmond_x000d_TW9 3LU_x000d_"/>
    <m/>
    <m/>
    <m/>
    <m/>
    <m/>
    <m/>
    <m/>
    <m/>
    <m/>
    <n v="0"/>
    <m/>
    <n v="4"/>
    <n v="2"/>
    <m/>
    <m/>
    <m/>
    <m/>
    <m/>
    <m/>
    <n v="6"/>
    <n v="4"/>
    <n v="2"/>
    <n v="0"/>
    <n v="0"/>
    <n v="0"/>
    <n v="0"/>
    <n v="0"/>
    <n v="0"/>
    <n v="6"/>
    <x v="0"/>
    <n v="0"/>
    <n v="0"/>
    <n v="3"/>
    <n v="3"/>
    <n v="0"/>
    <n v="0"/>
    <m/>
    <m/>
    <m/>
    <m/>
    <m/>
    <n v="6"/>
    <n v="519126"/>
    <n v="176420"/>
    <s v="Kew"/>
  </r>
  <r>
    <s v="16/1145/FUL"/>
    <x v="2"/>
    <x v="0"/>
    <d v="2016-12-15T00:00:00"/>
    <d v="2019-12-15T00:00:00"/>
    <d v="2019-02-01T00:00:00"/>
    <m/>
    <x v="1"/>
    <x v="0"/>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x v="0"/>
    <n v="0"/>
    <n v="1"/>
    <n v="0"/>
    <n v="0"/>
    <n v="0"/>
    <n v="0"/>
    <m/>
    <m/>
    <m/>
    <m/>
    <m/>
    <n v="1"/>
    <n v="517615"/>
    <n v="169709"/>
    <s v="Hampton Wick"/>
  </r>
  <r>
    <s v="16/1373/FUL"/>
    <x v="1"/>
    <x v="0"/>
    <d v="2016-09-19T00:00:00"/>
    <d v="2019-09-19T00:00:00"/>
    <d v="2017-11-24T00:00:00"/>
    <m/>
    <x v="1"/>
    <x v="0"/>
    <m/>
    <s v="Alterations and refurbishment to provide a single family dwelling house."/>
    <s v="17 The Green, Richmond, TW9 1PX_x000a_"/>
    <s v="TW9 1PX"/>
    <m/>
    <m/>
    <m/>
    <m/>
    <m/>
    <m/>
    <m/>
    <m/>
    <n v="0"/>
    <m/>
    <m/>
    <m/>
    <m/>
    <m/>
    <n v="1"/>
    <m/>
    <m/>
    <m/>
    <n v="1"/>
    <n v="0"/>
    <n v="0"/>
    <n v="0"/>
    <n v="0"/>
    <n v="1"/>
    <n v="0"/>
    <n v="0"/>
    <n v="0"/>
    <n v="1"/>
    <x v="0"/>
    <n v="0"/>
    <n v="1"/>
    <n v="0"/>
    <n v="0"/>
    <n v="0"/>
    <n v="0"/>
    <m/>
    <m/>
    <m/>
    <m/>
    <m/>
    <n v="1"/>
    <n v="517807"/>
    <n v="174892"/>
    <s v="South Richmond"/>
  </r>
  <r>
    <s v="16/1882/FUL"/>
    <x v="0"/>
    <x v="0"/>
    <d v="2017-05-30T00:00:00"/>
    <d v="2020-05-30T00:00:00"/>
    <d v="2019-04-01T00:00:00"/>
    <m/>
    <x v="1"/>
    <x v="0"/>
    <m/>
    <s v="Demolition of existing single dwelling and erection of a new single dwelling."/>
    <s v="9 Charlotte Road_x000d_Barnes_x000d_London_x000d_SW13 9QJ_x000d_"/>
    <s v="SW13 9QJ"/>
    <n v="1"/>
    <m/>
    <m/>
    <m/>
    <m/>
    <m/>
    <m/>
    <m/>
    <n v="1"/>
    <m/>
    <m/>
    <m/>
    <n v="1"/>
    <m/>
    <m/>
    <m/>
    <m/>
    <m/>
    <n v="1"/>
    <n v="-1"/>
    <n v="0"/>
    <n v="1"/>
    <n v="0"/>
    <n v="0"/>
    <n v="0"/>
    <n v="0"/>
    <n v="0"/>
    <n v="0"/>
    <x v="0"/>
    <n v="0"/>
    <n v="0"/>
    <n v="0"/>
    <n v="0"/>
    <n v="0"/>
    <n v="0"/>
    <m/>
    <m/>
    <m/>
    <m/>
    <m/>
    <n v="0"/>
    <n v="521779"/>
    <n v="176827"/>
    <s v="Barnes"/>
  </r>
  <r>
    <s v="16/1903/FUL"/>
    <x v="1"/>
    <x v="0"/>
    <d v="2016-11-15T00:00:00"/>
    <d v="2020-11-01T00:00:00"/>
    <d v="2019-01-14T00:00:00"/>
    <d v="2020-05-18T00:00:00"/>
    <x v="1"/>
    <x v="0"/>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x v="0"/>
    <n v="0"/>
    <n v="1"/>
    <n v="0"/>
    <n v="0"/>
    <n v="0"/>
    <n v="0"/>
    <m/>
    <m/>
    <m/>
    <m/>
    <m/>
    <n v="1"/>
    <n v="518846"/>
    <n v="177650"/>
    <s v="Kew"/>
  </r>
  <r>
    <s v="16/2306/FUL"/>
    <x v="2"/>
    <x v="0"/>
    <d v="2016-08-17T00:00:00"/>
    <d v="2019-08-17T00:00:00"/>
    <d v="2019-01-14T00:00:00"/>
    <m/>
    <x v="1"/>
    <x v="0"/>
    <m/>
    <s v="Conversion of the building into one family house, plus an additional apartment at basement level to the front."/>
    <s v="112 Richmond Hill_x000d_Richmond_x000d__x000d_"/>
    <m/>
    <n v="2"/>
    <n v="2"/>
    <n v="1"/>
    <m/>
    <m/>
    <m/>
    <m/>
    <m/>
    <n v="5"/>
    <m/>
    <n v="1"/>
    <m/>
    <m/>
    <n v="1"/>
    <m/>
    <m/>
    <m/>
    <m/>
    <n v="2"/>
    <n v="-1"/>
    <n v="-2"/>
    <n v="-1"/>
    <n v="1"/>
    <n v="0"/>
    <n v="0"/>
    <n v="0"/>
    <n v="0"/>
    <n v="-3"/>
    <x v="0"/>
    <n v="0"/>
    <n v="-3"/>
    <n v="0"/>
    <n v="0"/>
    <n v="0"/>
    <n v="0"/>
    <m/>
    <m/>
    <m/>
    <m/>
    <m/>
    <n v="-3"/>
    <n v="518294"/>
    <n v="174078"/>
    <s v="Ham, Petersham and Richmond Riverside"/>
  </r>
  <r>
    <s v="16/2637/FUL"/>
    <x v="0"/>
    <x v="0"/>
    <d v="2017-03-07T00:00:00"/>
    <d v="2020-03-07T00:00:00"/>
    <d v="2017-05-10T00:00:00"/>
    <m/>
    <x v="1"/>
    <x v="0"/>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x v="0"/>
    <n v="0"/>
    <n v="0"/>
    <n v="0"/>
    <n v="0"/>
    <n v="0"/>
    <n v="0"/>
    <m/>
    <m/>
    <m/>
    <m/>
    <m/>
    <n v="0"/>
    <n v="521872"/>
    <n v="177181"/>
    <s v="Barnes"/>
  </r>
  <r>
    <s v="16/2647/FUL"/>
    <x v="0"/>
    <x v="0"/>
    <d v="2017-10-10T00:00:00"/>
    <d v="2020-10-10T00:00:00"/>
    <d v="2019-12-02T00:00:00"/>
    <m/>
    <x v="1"/>
    <x v="2"/>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x v="0"/>
    <n v="0"/>
    <n v="11"/>
    <n v="11"/>
    <n v="0"/>
    <n v="0"/>
    <n v="0"/>
    <m/>
    <m/>
    <m/>
    <m/>
    <m/>
    <n v="22"/>
    <n v="515918"/>
    <n v="171031"/>
    <s v="Teddington"/>
  </r>
  <r>
    <s v="16/2709/FUL"/>
    <x v="0"/>
    <x v="0"/>
    <d v="2017-04-10T00:00:00"/>
    <d v="2020-04-10T00:00:00"/>
    <d v="2020-03-22T00:00:00"/>
    <m/>
    <x v="1"/>
    <x v="0"/>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x v="0"/>
    <n v="0"/>
    <n v="0"/>
    <n v="0"/>
    <n v="0"/>
    <n v="0"/>
    <n v="0"/>
    <m/>
    <m/>
    <m/>
    <m/>
    <m/>
    <n v="0"/>
    <n v="522192"/>
    <n v="177628"/>
    <s v="Barnes"/>
  </r>
  <r>
    <s v="16/3293/RES"/>
    <x v="0"/>
    <x v="0"/>
    <d v="2016-11-03T00:00:00"/>
    <d v="2019-11-03T00:00:00"/>
    <d v="2017-03-13T00:00:00"/>
    <m/>
    <x v="1"/>
    <x v="1"/>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x v="0"/>
    <n v="0"/>
    <n v="0"/>
    <n v="0"/>
    <n v="11"/>
    <n v="11"/>
    <n v="0"/>
    <m/>
    <m/>
    <m/>
    <m/>
    <m/>
    <n v="22"/>
    <n v="515304"/>
    <n v="173889"/>
    <s v="St. Margarets and North Twickenham"/>
  </r>
  <r>
    <s v="16/3293/RES"/>
    <x v="0"/>
    <x v="0"/>
    <d v="2016-11-03T00:00:00"/>
    <d v="2019-11-03T00:00:00"/>
    <d v="2017-03-13T00:00:00"/>
    <m/>
    <x v="1"/>
    <x v="0"/>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x v="0"/>
    <n v="0"/>
    <n v="0"/>
    <n v="0"/>
    <n v="48.666666666666664"/>
    <n v="48.666666666666664"/>
    <n v="48.666666666666664"/>
    <m/>
    <m/>
    <m/>
    <m/>
    <m/>
    <n v="146"/>
    <n v="515304"/>
    <n v="173889"/>
    <s v="St. Margarets and North Twickenham"/>
  </r>
  <r>
    <s v="16/3293/RES"/>
    <x v="0"/>
    <x v="0"/>
    <d v="2016-11-03T00:00:00"/>
    <d v="2019-11-03T00:00:00"/>
    <d v="2017-03-13T00:00:00"/>
    <m/>
    <x v="1"/>
    <x v="2"/>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x v="0"/>
    <n v="0"/>
    <n v="0"/>
    <n v="0"/>
    <n v="2.5"/>
    <n v="2.5"/>
    <n v="0"/>
    <m/>
    <m/>
    <m/>
    <m/>
    <m/>
    <n v="5"/>
    <n v="515304"/>
    <n v="173889"/>
    <s v="St. Margarets and North Twickenham"/>
  </r>
  <r>
    <s v="16/3450/FUL"/>
    <x v="0"/>
    <x v="0"/>
    <d v="2017-10-16T00:00:00"/>
    <d v="2020-10-16T00:00:00"/>
    <d v="2018-09-03T00:00:00"/>
    <d v="2020-09-09T00:00:00"/>
    <x v="1"/>
    <x v="0"/>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x v="0"/>
    <n v="0"/>
    <n v="9"/>
    <n v="0"/>
    <n v="0"/>
    <n v="0"/>
    <n v="0"/>
    <m/>
    <m/>
    <m/>
    <m/>
    <m/>
    <n v="9"/>
    <n v="515669"/>
    <n v="173102"/>
    <s v="South Twickenham"/>
  </r>
  <r>
    <s v="16/3506/FUL"/>
    <x v="0"/>
    <x v="0"/>
    <d v="2018-10-11T00:00:00"/>
    <d v="2021-10-11T00:00:00"/>
    <d v="2019-10-14T00:00:00"/>
    <m/>
    <x v="1"/>
    <x v="1"/>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x v="0"/>
    <n v="0"/>
    <n v="19"/>
    <n v="0"/>
    <n v="0"/>
    <n v="0"/>
    <n v="0"/>
    <m/>
    <m/>
    <m/>
    <m/>
    <m/>
    <n v="19"/>
    <n v="513257"/>
    <n v="174057"/>
    <s v="Whitton"/>
  </r>
  <r>
    <s v="16/3506/FUL"/>
    <x v="0"/>
    <x v="0"/>
    <d v="2018-10-11T00:00:00"/>
    <d v="2021-10-11T00:00:00"/>
    <d v="2019-10-14T00:00:00"/>
    <m/>
    <x v="1"/>
    <x v="2"/>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x v="0"/>
    <n v="0"/>
    <n v="5"/>
    <n v="0"/>
    <n v="0"/>
    <n v="0"/>
    <n v="0"/>
    <m/>
    <m/>
    <m/>
    <m/>
    <m/>
    <n v="5"/>
    <n v="513257"/>
    <n v="174057"/>
    <s v="Whitton"/>
  </r>
  <r>
    <s v="16/3506/FUL"/>
    <x v="0"/>
    <x v="0"/>
    <d v="2018-10-11T00:00:00"/>
    <d v="2021-10-11T00:00:00"/>
    <d v="2019-10-14T00:00:00"/>
    <m/>
    <x v="1"/>
    <x v="3"/>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x v="0"/>
    <n v="0"/>
    <n v="-30"/>
    <n v="0"/>
    <n v="0"/>
    <n v="0"/>
    <n v="0"/>
    <m/>
    <m/>
    <m/>
    <m/>
    <m/>
    <n v="-30"/>
    <n v="513257"/>
    <n v="174057"/>
    <s v="Whitton"/>
  </r>
  <r>
    <s v="16/3552/FUL"/>
    <x v="3"/>
    <x v="0"/>
    <d v="2018-04-24T00:00:00"/>
    <d v="2021-04-24T00:00:00"/>
    <d v="2018-04-25T00:00:00"/>
    <m/>
    <x v="1"/>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x v="0"/>
    <n v="0"/>
    <n v="12"/>
    <n v="0"/>
    <n v="0"/>
    <n v="0"/>
    <n v="0"/>
    <m/>
    <m/>
    <m/>
    <m/>
    <m/>
    <n v="12"/>
    <n v="517752"/>
    <n v="172177"/>
    <s v="Ham, Petersham and Richmond Riverside"/>
  </r>
  <r>
    <s v="16/3625/FUL"/>
    <x v="0"/>
    <x v="0"/>
    <d v="2017-11-30T00:00:00"/>
    <d v="2020-11-30T00:00:00"/>
    <d v="2018-09-01T00:00:00"/>
    <m/>
    <x v="1"/>
    <x v="0"/>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x v="0"/>
    <n v="0"/>
    <n v="1"/>
    <n v="0"/>
    <n v="0"/>
    <n v="0"/>
    <n v="0"/>
    <m/>
    <m/>
    <m/>
    <m/>
    <m/>
    <n v="1"/>
    <n v="516115"/>
    <n v="173199"/>
    <s v="Twickenham Riverside"/>
  </r>
  <r>
    <s v="16/3961/FUL"/>
    <x v="0"/>
    <x v="0"/>
    <d v="2017-02-20T00:00:00"/>
    <d v="2020-08-10T00:00:00"/>
    <d v="2019-01-14T00:00:00"/>
    <m/>
    <x v="1"/>
    <x v="0"/>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x v="0"/>
    <n v="0"/>
    <n v="1"/>
    <n v="0"/>
    <n v="0"/>
    <n v="0"/>
    <n v="0"/>
    <m/>
    <m/>
    <m/>
    <m/>
    <m/>
    <n v="1"/>
    <n v="521729"/>
    <n v="176400"/>
    <s v="Mortlake and Barnes Common"/>
  </r>
  <r>
    <s v="16/4127/FUL"/>
    <x v="2"/>
    <x v="0"/>
    <d v="2017-12-04T00:00:00"/>
    <d v="2021-01-30T00:00:00"/>
    <d v="2019-03-01T00:00:00"/>
    <m/>
    <x v="1"/>
    <x v="0"/>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x v="0"/>
    <n v="0"/>
    <n v="1"/>
    <n v="0"/>
    <n v="0"/>
    <n v="0"/>
    <n v="0"/>
    <m/>
    <m/>
    <m/>
    <m/>
    <m/>
    <n v="1"/>
    <n v="516719"/>
    <n v="171329"/>
    <s v="Teddington"/>
  </r>
  <r>
    <s v="16/4405/FUL"/>
    <x v="0"/>
    <x v="0"/>
    <d v="2017-03-27T00:00:00"/>
    <d v="2020-03-27T00:00:00"/>
    <d v="2017-09-01T00:00:00"/>
    <m/>
    <x v="1"/>
    <x v="0"/>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x v="0"/>
    <n v="0"/>
    <n v="0"/>
    <n v="0"/>
    <n v="0"/>
    <n v="0"/>
    <n v="0"/>
    <m/>
    <m/>
    <m/>
    <m/>
    <m/>
    <n v="0"/>
    <n v="514468"/>
    <n v="172144"/>
    <s v="West Twickenham"/>
  </r>
  <r>
    <s v="16/4635/FUL"/>
    <x v="0"/>
    <x v="0"/>
    <d v="2017-03-07T00:00:00"/>
    <d v="2020-03-07T00:00:00"/>
    <d v="2020-03-01T00:00:00"/>
    <m/>
    <x v="1"/>
    <x v="0"/>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x v="0"/>
    <n v="0"/>
    <n v="1"/>
    <n v="0"/>
    <n v="0"/>
    <n v="0"/>
    <n v="0"/>
    <m/>
    <m/>
    <m/>
    <m/>
    <m/>
    <n v="1"/>
    <n v="513432"/>
    <n v="173849"/>
    <s v="Whitton"/>
  </r>
  <r>
    <s v="16/4772/GPD15"/>
    <x v="1"/>
    <x v="1"/>
    <d v="2017-02-24T00:00:00"/>
    <d v="2020-12-21T00:00:00"/>
    <d v="2019-10-07T00:00:00"/>
    <m/>
    <x v="1"/>
    <x v="0"/>
    <m/>
    <s v="Change of use of first floor from B1 office use to C3 residential use comprising 9 units (8 x 1 bed and 1 x 2 bed flats)"/>
    <s v="52 - 64 Heath Road_x000d_Twickenham_x000d__x000d_"/>
    <s v="-"/>
    <m/>
    <m/>
    <m/>
    <m/>
    <m/>
    <m/>
    <m/>
    <m/>
    <n v="0"/>
    <m/>
    <n v="8"/>
    <n v="1"/>
    <m/>
    <m/>
    <m/>
    <m/>
    <m/>
    <m/>
    <n v="9"/>
    <n v="8"/>
    <n v="1"/>
    <n v="0"/>
    <n v="0"/>
    <n v="0"/>
    <n v="0"/>
    <n v="0"/>
    <n v="0"/>
    <n v="9"/>
    <x v="0"/>
    <n v="0"/>
    <n v="9"/>
    <n v="0"/>
    <n v="0"/>
    <n v="0"/>
    <n v="0"/>
    <m/>
    <m/>
    <m/>
    <m/>
    <m/>
    <n v="9"/>
    <n v="515974"/>
    <n v="173142"/>
    <s v="Twickenham Riverside"/>
  </r>
  <r>
    <s v="16/4890/FUL"/>
    <x v="0"/>
    <x v="0"/>
    <d v="2017-09-08T00:00:00"/>
    <d v="2020-09-08T00:00:00"/>
    <d v="2019-03-30T00:00:00"/>
    <m/>
    <x v="1"/>
    <x v="0"/>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x v="0"/>
    <n v="0"/>
    <n v="10"/>
    <n v="10"/>
    <n v="0"/>
    <n v="0"/>
    <n v="0"/>
    <m/>
    <m/>
    <m/>
    <m/>
    <m/>
    <n v="20"/>
    <n v="519012"/>
    <n v="175761"/>
    <s v="Kew"/>
  </r>
  <r>
    <s v="16/4902/FUL"/>
    <x v="0"/>
    <x v="0"/>
    <d v="2017-06-22T00:00:00"/>
    <d v="2021-11-12T00:00:00"/>
    <d v="2019-10-09T00:00:00"/>
    <m/>
    <x v="1"/>
    <x v="0"/>
    <m/>
    <s v="Construction of a two storey, one bed dwelling-house along with associated cycle storage, car parking and landscaping."/>
    <s v="91 Sheen Road_x000d_Richmond_x000d_TW9 1YJ"/>
    <s v="TW9 1YJ"/>
    <m/>
    <m/>
    <m/>
    <m/>
    <m/>
    <m/>
    <m/>
    <m/>
    <n v="0"/>
    <m/>
    <n v="1"/>
    <m/>
    <m/>
    <m/>
    <m/>
    <m/>
    <m/>
    <m/>
    <n v="1"/>
    <n v="1"/>
    <n v="0"/>
    <n v="0"/>
    <n v="0"/>
    <n v="0"/>
    <n v="0"/>
    <n v="0"/>
    <n v="0"/>
    <n v="1"/>
    <x v="0"/>
    <n v="0"/>
    <n v="1"/>
    <n v="0"/>
    <n v="0"/>
    <n v="0"/>
    <n v="0"/>
    <m/>
    <m/>
    <m/>
    <m/>
    <m/>
    <n v="1"/>
    <n v="518494"/>
    <n v="175035"/>
    <s v="South Richmond"/>
  </r>
  <r>
    <s v="17/0323/FUL"/>
    <x v="0"/>
    <x v="0"/>
    <d v="2018-03-22T00:00:00"/>
    <d v="2021-03-23T00:00:00"/>
    <d v="2020-03-31T00:00:00"/>
    <m/>
    <x v="1"/>
    <x v="0"/>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x v="0"/>
    <n v="0"/>
    <n v="2"/>
    <n v="2"/>
    <n v="0"/>
    <n v="0"/>
    <n v="0"/>
    <m/>
    <m/>
    <m/>
    <m/>
    <m/>
    <n v="4"/>
    <n v="514687"/>
    <n v="171290"/>
    <s v="Fulwell and Hampton Hill"/>
  </r>
  <r>
    <s v="17/0330/FUL"/>
    <x v="0"/>
    <x v="0"/>
    <d v="2017-08-07T00:00:00"/>
    <d v="2020-08-07T00:00:00"/>
    <d v="2018-03-20T00:00:00"/>
    <m/>
    <x v="1"/>
    <x v="0"/>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x v="0"/>
    <n v="0"/>
    <n v="1"/>
    <n v="0"/>
    <n v="0"/>
    <n v="0"/>
    <n v="0"/>
    <m/>
    <m/>
    <m/>
    <m/>
    <m/>
    <n v="1"/>
    <n v="517123"/>
    <n v="170663"/>
    <s v="Hampton Wick"/>
  </r>
  <r>
    <s v="17/1285/GPD15"/>
    <x v="1"/>
    <x v="1"/>
    <d v="2017-05-26T00:00:00"/>
    <d v="2021-12-08T00:00:00"/>
    <d v="2020-01-13T00:00:00"/>
    <m/>
    <x v="1"/>
    <x v="0"/>
    <m/>
    <s v="Change of use from B1 office to C3 residential."/>
    <s v="First Floor_x000d_300 - 302 Sandycombe Road_x000d_Richmond_x000d__x000d_"/>
    <s v="TW9 3NG"/>
    <m/>
    <m/>
    <m/>
    <m/>
    <m/>
    <m/>
    <m/>
    <m/>
    <n v="0"/>
    <m/>
    <m/>
    <n v="2"/>
    <m/>
    <m/>
    <m/>
    <m/>
    <m/>
    <m/>
    <n v="2"/>
    <n v="0"/>
    <n v="2"/>
    <n v="0"/>
    <n v="0"/>
    <n v="0"/>
    <n v="0"/>
    <n v="0"/>
    <n v="0"/>
    <n v="2"/>
    <x v="0"/>
    <n v="0"/>
    <n v="2"/>
    <n v="0"/>
    <n v="0"/>
    <n v="0"/>
    <n v="0"/>
    <m/>
    <m/>
    <m/>
    <m/>
    <m/>
    <n v="2"/>
    <n v="519061"/>
    <n v="176662"/>
    <s v="Kew"/>
  </r>
  <r>
    <s v="17/1286/VRC"/>
    <x v="0"/>
    <x v="0"/>
    <d v="2017-10-05T00:00:00"/>
    <d v="2017-12-09T00:00:00"/>
    <d v="2017-10-05T00:00:00"/>
    <d v="2020-05-15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x v="0"/>
    <n v="0"/>
    <n v="6"/>
    <n v="0"/>
    <n v="0"/>
    <n v="0"/>
    <n v="0"/>
    <m/>
    <m/>
    <m/>
    <m/>
    <m/>
    <n v="6"/>
    <n v="516802"/>
    <n v="171333"/>
    <s v="Teddington"/>
  </r>
  <r>
    <s v="17/1453/FUL"/>
    <x v="1"/>
    <x v="0"/>
    <d v="2018-04-24T00:00:00"/>
    <d v="2021-04-24T00:00:00"/>
    <d v="2019-10-03T00:00:00"/>
    <m/>
    <x v="1"/>
    <x v="0"/>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x v="0"/>
    <n v="0"/>
    <n v="1"/>
    <n v="0"/>
    <n v="0"/>
    <n v="0"/>
    <n v="0"/>
    <m/>
    <m/>
    <m/>
    <m/>
    <m/>
    <n v="1"/>
    <n v="515313"/>
    <n v="173179"/>
    <s v="South Twickenham"/>
  </r>
  <r>
    <s v="17/1937/FUL"/>
    <x v="1"/>
    <x v="0"/>
    <d v="2018-09-13T00:00:00"/>
    <d v="2021-09-13T00:00:00"/>
    <d v="2019-10-01T00:00:00"/>
    <m/>
    <x v="1"/>
    <x v="0"/>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x v="0"/>
    <n v="0"/>
    <n v="2"/>
    <n v="0"/>
    <n v="0"/>
    <n v="0"/>
    <n v="0"/>
    <m/>
    <m/>
    <m/>
    <m/>
    <m/>
    <n v="2"/>
    <n v="515790"/>
    <n v="173166"/>
    <s v="South Twickenham"/>
  </r>
  <r>
    <s v="17/1996/FUL"/>
    <x v="0"/>
    <x v="0"/>
    <d v="2017-11-28T00:00:00"/>
    <d v="2020-11-28T00:00:00"/>
    <d v="2019-02-01T00:00:00"/>
    <m/>
    <x v="1"/>
    <x v="0"/>
    <m/>
    <s v="Demolition of existing outbuildings and construction of 2 No. detached dwellinghouses."/>
    <s v="49 Clifford Avenue_x000d_East Sheen_x000d_London_x000d_SW14 7BW"/>
    <s v="SW14 7BW"/>
    <m/>
    <m/>
    <m/>
    <m/>
    <m/>
    <m/>
    <m/>
    <m/>
    <n v="0"/>
    <m/>
    <m/>
    <m/>
    <m/>
    <n v="2"/>
    <m/>
    <m/>
    <m/>
    <m/>
    <n v="2"/>
    <n v="0"/>
    <n v="0"/>
    <n v="0"/>
    <n v="2"/>
    <n v="0"/>
    <n v="0"/>
    <n v="0"/>
    <n v="0"/>
    <n v="2"/>
    <x v="0"/>
    <n v="0"/>
    <n v="2"/>
    <n v="0"/>
    <n v="0"/>
    <n v="0"/>
    <n v="0"/>
    <m/>
    <m/>
    <m/>
    <m/>
    <m/>
    <n v="2"/>
    <n v="519840"/>
    <n v="175428"/>
    <s v="North Richmond"/>
  </r>
  <r>
    <s v="17/2488/FUL"/>
    <x v="0"/>
    <x v="0"/>
    <d v="2017-08-25T00:00:00"/>
    <d v="2021-04-06T00:00:00"/>
    <d v="2018-12-01T00:00:00"/>
    <m/>
    <x v="1"/>
    <x v="0"/>
    <m/>
    <s v="Replacement dwellinghouse with associated landscaping, boundary treatment and summer house."/>
    <s v="32 Fife Road_x000d_East Sheen_x000d_London_x000d_SW14 7EL"/>
    <s v="SW14 7EL"/>
    <m/>
    <m/>
    <m/>
    <m/>
    <n v="1"/>
    <m/>
    <m/>
    <m/>
    <n v="1"/>
    <m/>
    <m/>
    <m/>
    <m/>
    <m/>
    <m/>
    <n v="1"/>
    <m/>
    <m/>
    <n v="1"/>
    <n v="0"/>
    <n v="0"/>
    <n v="0"/>
    <n v="0"/>
    <n v="-1"/>
    <n v="1"/>
    <n v="0"/>
    <n v="0"/>
    <n v="0"/>
    <x v="0"/>
    <n v="0"/>
    <n v="0"/>
    <n v="0"/>
    <n v="0"/>
    <n v="0"/>
    <n v="0"/>
    <m/>
    <m/>
    <m/>
    <m/>
    <m/>
    <n v="0"/>
    <n v="520119"/>
    <n v="174521"/>
    <s v="East Sheen"/>
  </r>
  <r>
    <s v="17/2769/FUL"/>
    <x v="0"/>
    <x v="0"/>
    <d v="2018-04-13T00:00:00"/>
    <d v="2021-04-13T00:00:00"/>
    <d v="2018-11-30T00:00:00"/>
    <m/>
    <x v="1"/>
    <x v="0"/>
    <m/>
    <s v="Demolition of existing detached dwelling and construction of a new 2 storey, 5 bedroom dwelling."/>
    <s v="54 Sandy Lane_x000d_Petersham_x000d_Richmond_x000d_TW10 7EL_x000d_"/>
    <s v="TW10 7EL"/>
    <m/>
    <m/>
    <n v="1"/>
    <m/>
    <m/>
    <m/>
    <m/>
    <m/>
    <n v="1"/>
    <m/>
    <m/>
    <m/>
    <m/>
    <m/>
    <n v="1"/>
    <m/>
    <m/>
    <m/>
    <n v="1"/>
    <n v="0"/>
    <n v="0"/>
    <n v="-1"/>
    <n v="0"/>
    <n v="1"/>
    <n v="0"/>
    <n v="0"/>
    <n v="0"/>
    <n v="0"/>
    <x v="0"/>
    <n v="0"/>
    <n v="0"/>
    <n v="0"/>
    <n v="0"/>
    <n v="0"/>
    <n v="0"/>
    <m/>
    <m/>
    <m/>
    <m/>
    <m/>
    <n v="0"/>
    <n v="517655"/>
    <n v="172610"/>
    <s v="Ham, Petersham and Richmond Riverside"/>
  </r>
  <r>
    <s v="17/2939/FUL"/>
    <x v="1"/>
    <x v="0"/>
    <d v="2017-11-09T00:00:00"/>
    <d v="2020-11-09T00:00:00"/>
    <d v="2018-09-04T00:00:00"/>
    <m/>
    <x v="1"/>
    <x v="0"/>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x v="0"/>
    <n v="0"/>
    <n v="1"/>
    <n v="0"/>
    <n v="0"/>
    <n v="0"/>
    <n v="0"/>
    <m/>
    <m/>
    <m/>
    <m/>
    <m/>
    <n v="1"/>
    <n v="521310"/>
    <n v="175864"/>
    <s v="Mortlake and Barnes Common"/>
  </r>
  <r>
    <s v="17/3667/FUL"/>
    <x v="0"/>
    <x v="0"/>
    <d v="2018-04-25T00:00:00"/>
    <d v="2021-04-25T00:00:00"/>
    <d v="2020-03-02T00:00:00"/>
    <m/>
    <x v="1"/>
    <x v="0"/>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x v="0"/>
    <n v="0"/>
    <n v="1"/>
    <n v="0"/>
    <n v="0"/>
    <n v="0"/>
    <n v="0"/>
    <m/>
    <m/>
    <m/>
    <m/>
    <m/>
    <n v="1"/>
    <n v="517808"/>
    <n v="173353"/>
    <s v="Ham, Petersham and Richmond Riverside"/>
  </r>
  <r>
    <s v="17/4268/FUL"/>
    <x v="0"/>
    <x v="0"/>
    <d v="2018-05-09T00:00:00"/>
    <d v="2021-05-09T00:00:00"/>
    <d v="2019-03-01T00:00:00"/>
    <m/>
    <x v="1"/>
    <x v="0"/>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x v="0"/>
    <n v="0"/>
    <n v="1"/>
    <n v="0"/>
    <n v="0"/>
    <n v="0"/>
    <n v="0"/>
    <m/>
    <m/>
    <m/>
    <m/>
    <m/>
    <n v="1"/>
    <n v="522397"/>
    <n v="177790"/>
    <s v="Barnes"/>
  </r>
  <r>
    <s v="17/4303/FUL"/>
    <x v="4"/>
    <x v="0"/>
    <d v="2018-07-20T00:00:00"/>
    <d v="2021-07-20T00:00:00"/>
    <m/>
    <d v="2020-07-07T00:00:00"/>
    <x v="1"/>
    <x v="0"/>
    <m/>
    <s v="Erection of a second floor roof extension to create a. two-bed flat with roof terraces"/>
    <s v="16 Elmtree Road Teddington_x000a__x000a_"/>
    <s v="TW11 8ST"/>
    <m/>
    <m/>
    <m/>
    <m/>
    <m/>
    <m/>
    <m/>
    <m/>
    <n v="0"/>
    <m/>
    <m/>
    <n v="1"/>
    <m/>
    <m/>
    <m/>
    <m/>
    <m/>
    <m/>
    <n v="1"/>
    <n v="0"/>
    <n v="1"/>
    <n v="0"/>
    <n v="0"/>
    <n v="0"/>
    <n v="0"/>
    <n v="0"/>
    <n v="0"/>
    <n v="1"/>
    <x v="0"/>
    <n v="0"/>
    <n v="1"/>
    <n v="0"/>
    <n v="0"/>
    <n v="0"/>
    <n v="0"/>
    <m/>
    <m/>
    <m/>
    <m/>
    <m/>
    <n v="1"/>
    <n v="515426"/>
    <n v="171451"/>
    <s v="Fulwell and Hampton Hill"/>
  </r>
  <r>
    <s v="17/4368/FUL"/>
    <x v="3"/>
    <x v="0"/>
    <d v="2019-03-06T00:00:00"/>
    <d v="2022-03-07T00:00:00"/>
    <d v="2019-09-02T00:00:00"/>
    <m/>
    <x v="1"/>
    <x v="0"/>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x v="0"/>
    <n v="0"/>
    <n v="1"/>
    <n v="0"/>
    <n v="0"/>
    <n v="0"/>
    <n v="0"/>
    <m/>
    <m/>
    <m/>
    <m/>
    <m/>
    <n v="1"/>
    <n v="512731"/>
    <n v="171617"/>
    <s v="Hampton North"/>
  </r>
  <r>
    <s v="17/4517/VRC"/>
    <x v="0"/>
    <x v="0"/>
    <d v="2018-02-26T00:00:00"/>
    <d v="2021-02-26T00:00:00"/>
    <d v="2019-03-01T00:00:00"/>
    <d v="2020-08-13T00:00:00"/>
    <x v="1"/>
    <x v="0"/>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x v="0"/>
    <n v="0"/>
    <n v="1"/>
    <n v="0"/>
    <n v="0"/>
    <n v="0"/>
    <n v="0"/>
    <m/>
    <m/>
    <m/>
    <m/>
    <m/>
    <n v="1"/>
    <n v="519786"/>
    <n v="175060"/>
    <s v="East Sheen"/>
  </r>
  <r>
    <s v="18/0111/FUL"/>
    <x v="0"/>
    <x v="0"/>
    <d v="2018-06-27T00:00:00"/>
    <d v="2021-06-27T00:00:00"/>
    <d v="2019-06-15T00:00:00"/>
    <d v="2020-07-01T00:00:00"/>
    <x v="1"/>
    <x v="0"/>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x v="0"/>
    <n v="0"/>
    <n v="1"/>
    <n v="0"/>
    <n v="0"/>
    <n v="0"/>
    <n v="0"/>
    <m/>
    <m/>
    <m/>
    <m/>
    <m/>
    <n v="1"/>
    <n v="513875"/>
    <n v="172459"/>
    <s v="West Twickenham"/>
  </r>
  <r>
    <s v="18/0216/FUL"/>
    <x v="2"/>
    <x v="0"/>
    <d v="2018-12-05T00:00:00"/>
    <d v="2021-12-05T00:00:00"/>
    <d v="2019-11-11T00:00:00"/>
    <m/>
    <x v="1"/>
    <x v="0"/>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x v="0"/>
    <n v="0"/>
    <n v="1"/>
    <n v="0"/>
    <n v="0"/>
    <n v="0"/>
    <n v="0"/>
    <m/>
    <m/>
    <m/>
    <m/>
    <m/>
    <n v="1"/>
    <n v="520283"/>
    <n v="175305"/>
    <s v="East Sheen"/>
  </r>
  <r>
    <s v="18/0282/FUL"/>
    <x v="0"/>
    <x v="0"/>
    <d v="2018-04-03T00:00:00"/>
    <d v="2021-04-03T00:00:00"/>
    <d v="2019-03-01T00:00:00"/>
    <m/>
    <x v="1"/>
    <x v="0"/>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x v="0"/>
    <n v="0"/>
    <n v="0"/>
    <n v="0"/>
    <n v="0"/>
    <n v="0"/>
    <n v="0"/>
    <m/>
    <m/>
    <m/>
    <m/>
    <m/>
    <n v="0"/>
    <n v="522357"/>
    <n v="175528"/>
    <s v="Mortlake and Barnes Common"/>
  </r>
  <r>
    <s v="18/0449/FUL"/>
    <x v="2"/>
    <x v="0"/>
    <d v="2018-09-07T00:00:00"/>
    <d v="2021-09-07T00:00:00"/>
    <d v="2018-11-01T00:00:00"/>
    <m/>
    <x v="1"/>
    <x v="0"/>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x v="0"/>
    <n v="0"/>
    <n v="1"/>
    <n v="0"/>
    <n v="0"/>
    <n v="0"/>
    <n v="0"/>
    <m/>
    <m/>
    <m/>
    <m/>
    <m/>
    <n v="1"/>
    <n v="515991"/>
    <n v="168830"/>
    <s v="Hampton"/>
  </r>
  <r>
    <s v="18/0692/FUL"/>
    <x v="0"/>
    <x v="0"/>
    <d v="2018-08-17T00:00:00"/>
    <d v="2021-08-17T00:00:00"/>
    <d v="2019-08-12T00:00:00"/>
    <m/>
    <x v="1"/>
    <x v="0"/>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x v="0"/>
    <n v="0"/>
    <n v="1"/>
    <n v="0"/>
    <n v="0"/>
    <n v="0"/>
    <n v="0"/>
    <m/>
    <m/>
    <m/>
    <m/>
    <m/>
    <n v="1"/>
    <n v="513446"/>
    <n v="170353"/>
    <s v="Hampton"/>
  </r>
  <r>
    <s v="18/0771/FUL"/>
    <x v="0"/>
    <x v="0"/>
    <d v="2018-06-21T00:00:00"/>
    <d v="2021-06-21T00:00:00"/>
    <d v="2018-12-01T00:00:00"/>
    <m/>
    <x v="1"/>
    <x v="0"/>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x v="0"/>
    <n v="0"/>
    <n v="1"/>
    <n v="0"/>
    <n v="0"/>
    <n v="0"/>
    <n v="0"/>
    <m/>
    <m/>
    <m/>
    <m/>
    <m/>
    <n v="1"/>
    <n v="513452"/>
    <n v="171614"/>
    <s v="Hampton North"/>
  </r>
  <r>
    <s v="18/0929/FUL"/>
    <x v="3"/>
    <x v="0"/>
    <d v="2018-11-07T00:00:00"/>
    <d v="2021-11-07T00:00:00"/>
    <d v="2018-12-03T00:00:00"/>
    <d v="2020-06-12T00:00:00"/>
    <x v="1"/>
    <x v="0"/>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x v="0"/>
    <n v="0"/>
    <n v="0"/>
    <n v="0"/>
    <n v="0"/>
    <n v="0"/>
    <n v="0"/>
    <m/>
    <m/>
    <m/>
    <m/>
    <m/>
    <n v="0"/>
    <n v="514485"/>
    <n v="171271"/>
    <s v="Fulwell and Hampton Hill"/>
  </r>
  <r>
    <s v="18/0946/FUL"/>
    <x v="1"/>
    <x v="0"/>
    <d v="2018-06-04T00:00:00"/>
    <d v="2021-06-04T00:00:00"/>
    <d v="2020-01-13T00:00:00"/>
    <m/>
    <x v="1"/>
    <x v="0"/>
    <m/>
    <s v="Conversion of Second Floor Flat into 2 no. x 1-bedroom Flats"/>
    <s v="Second Floor Flat _x000d_302 Sandycombe Road_x000d_Richmond_x000d_TW9 3NG"/>
    <s v="TW9 3NG"/>
    <m/>
    <n v="1"/>
    <m/>
    <m/>
    <m/>
    <m/>
    <m/>
    <m/>
    <n v="1"/>
    <m/>
    <n v="2"/>
    <m/>
    <m/>
    <m/>
    <m/>
    <m/>
    <m/>
    <m/>
    <n v="2"/>
    <n v="2"/>
    <n v="-1"/>
    <n v="0"/>
    <n v="0"/>
    <n v="0"/>
    <n v="0"/>
    <n v="0"/>
    <n v="0"/>
    <n v="1"/>
    <x v="0"/>
    <n v="0"/>
    <n v="1"/>
    <n v="0"/>
    <n v="0"/>
    <n v="0"/>
    <n v="0"/>
    <m/>
    <m/>
    <m/>
    <m/>
    <m/>
    <n v="1"/>
    <n v="519061"/>
    <n v="176659"/>
    <s v="Kew"/>
  </r>
  <r>
    <s v="18/1619/FUL"/>
    <x v="4"/>
    <x v="0"/>
    <d v="2019-05-28T00:00:00"/>
    <d v="2022-05-28T00:00:00"/>
    <d v="2019-08-07T00:00:00"/>
    <d v="2020-05-12T00:00:00"/>
    <x v="1"/>
    <x v="0"/>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x v="0"/>
    <n v="0"/>
    <n v="1"/>
    <n v="0"/>
    <n v="0"/>
    <n v="0"/>
    <n v="0"/>
    <m/>
    <m/>
    <m/>
    <m/>
    <m/>
    <n v="1"/>
    <n v="520508"/>
    <n v="175448"/>
    <s v="East Sheen"/>
  </r>
  <r>
    <s v="18/1767/FUL"/>
    <x v="1"/>
    <x v="0"/>
    <d v="2019-01-11T00:00:00"/>
    <d v="2022-01-11T00:00:00"/>
    <d v="2019-03-01T00:00:00"/>
    <d v="2020-05-11T00:00:00"/>
    <x v="1"/>
    <x v="0"/>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x v="0"/>
    <n v="0"/>
    <n v="2"/>
    <n v="0"/>
    <n v="0"/>
    <n v="0"/>
    <n v="0"/>
    <m/>
    <m/>
    <m/>
    <m/>
    <m/>
    <n v="2"/>
    <n v="514273"/>
    <n v="170844"/>
    <s v="Fulwell and Hampton Hill"/>
  </r>
  <r>
    <s v="18/1808/FUL"/>
    <x v="0"/>
    <x v="0"/>
    <d v="2018-11-19T00:00:00"/>
    <d v="2021-11-19T00:00:00"/>
    <d v="2019-10-16T00:00:00"/>
    <m/>
    <x v="1"/>
    <x v="0"/>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x v="0"/>
    <n v="0"/>
    <n v="1"/>
    <n v="0"/>
    <n v="0"/>
    <n v="0"/>
    <n v="0"/>
    <m/>
    <m/>
    <m/>
    <m/>
    <m/>
    <n v="1"/>
    <n v="515803"/>
    <n v="171071"/>
    <s v="Teddington"/>
  </r>
  <r>
    <s v="18/2114/FUL"/>
    <x v="1"/>
    <x v="0"/>
    <d v="2018-12-20T00:00:00"/>
    <d v="2021-12-20T00:00:00"/>
    <d v="2019-02-01T00:00:00"/>
    <d v="2020-05-04T00:00:00"/>
    <x v="1"/>
    <x v="0"/>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x v="0"/>
    <n v="0"/>
    <n v="1"/>
    <n v="0"/>
    <n v="0"/>
    <n v="0"/>
    <n v="0"/>
    <m/>
    <m/>
    <m/>
    <m/>
    <m/>
    <n v="1"/>
    <n v="521729"/>
    <n v="176389"/>
    <s v="Mortlake and Barnes Common"/>
  </r>
  <r>
    <s v="18/2235/VRC"/>
    <x v="1"/>
    <x v="0"/>
    <d v="2018-09-25T00:00:00"/>
    <d v="2021-09-25T00:00:00"/>
    <d v="2019-10-01T00:00:00"/>
    <m/>
    <x v="1"/>
    <x v="0"/>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x v="0"/>
    <n v="0"/>
    <n v="0"/>
    <n v="0"/>
    <n v="0"/>
    <n v="0"/>
    <n v="0"/>
    <m/>
    <m/>
    <m/>
    <m/>
    <m/>
    <n v="0"/>
    <n v="514005"/>
    <n v="169556"/>
    <s v="Hampton"/>
  </r>
  <r>
    <s v="18/2322/FUL"/>
    <x v="1"/>
    <x v="0"/>
    <d v="2018-11-13T00:00:00"/>
    <d v="2022-05-30T00:00:00"/>
    <d v="2020-01-13T00:00:00"/>
    <m/>
    <x v="1"/>
    <x v="0"/>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x v="0"/>
    <n v="0"/>
    <n v="1"/>
    <n v="0"/>
    <n v="0"/>
    <n v="0"/>
    <n v="0"/>
    <m/>
    <m/>
    <m/>
    <m/>
    <m/>
    <n v="1"/>
    <n v="519061"/>
    <n v="176662"/>
    <s v="Kew"/>
  </r>
  <r>
    <s v="18/2494/FUL"/>
    <x v="0"/>
    <x v="0"/>
    <d v="2019-03-22T00:00:00"/>
    <d v="2022-03-22T00:00:00"/>
    <d v="2020-01-29T00:00:00"/>
    <m/>
    <x v="1"/>
    <x v="0"/>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x v="0"/>
    <n v="0"/>
    <n v="1"/>
    <n v="0"/>
    <n v="0"/>
    <n v="0"/>
    <n v="0"/>
    <m/>
    <m/>
    <m/>
    <m/>
    <m/>
    <n v="1"/>
    <n v="519884"/>
    <n v="175023"/>
    <s v="East Sheen"/>
  </r>
  <r>
    <s v="18/2928/FUL"/>
    <x v="1"/>
    <x v="0"/>
    <d v="2019-03-08T00:00:00"/>
    <d v="2022-03-08T00:00:00"/>
    <d v="2019-03-29T00:00:00"/>
    <m/>
    <x v="1"/>
    <x v="0"/>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x v="0"/>
    <n v="0"/>
    <n v="1"/>
    <n v="0"/>
    <n v="0"/>
    <n v="0"/>
    <n v="0"/>
    <m/>
    <m/>
    <m/>
    <m/>
    <m/>
    <n v="1"/>
    <n v="516022"/>
    <n v="171099"/>
    <s v="Teddington"/>
  </r>
  <r>
    <s v="18/3515/FUL"/>
    <x v="2"/>
    <x v="0"/>
    <d v="2019-02-18T00:00:00"/>
    <d v="2022-02-18T00:00:00"/>
    <d v="2019-10-01T00:00:00"/>
    <d v="2020-08-13T00:00:00"/>
    <x v="1"/>
    <x v="0"/>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x v="0"/>
    <n v="0"/>
    <n v="2"/>
    <n v="0"/>
    <n v="0"/>
    <n v="0"/>
    <n v="0"/>
    <m/>
    <m/>
    <m/>
    <m/>
    <m/>
    <n v="2"/>
    <n v="520700"/>
    <n v="175411"/>
    <s v="East Sheen"/>
  </r>
  <r>
    <s v="18/3768/FUL"/>
    <x v="1"/>
    <x v="0"/>
    <d v="2019-03-26T00:00:00"/>
    <d v="2022-03-26T00:00:00"/>
    <d v="2020-01-13T00:00:00"/>
    <m/>
    <x v="1"/>
    <x v="0"/>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x v="0"/>
    <n v="0"/>
    <n v="2"/>
    <n v="0"/>
    <n v="0"/>
    <n v="0"/>
    <n v="0"/>
    <m/>
    <m/>
    <m/>
    <m/>
    <m/>
    <n v="2"/>
    <n v="513264"/>
    <n v="169738"/>
    <s v="Hampton"/>
  </r>
  <r>
    <s v="18/3804/FUL"/>
    <x v="0"/>
    <x v="0"/>
    <d v="2019-05-14T00:00:00"/>
    <d v="2022-05-14T00:00:00"/>
    <d v="2019-10-17T00:00:00"/>
    <m/>
    <x v="1"/>
    <x v="0"/>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x v="0"/>
    <n v="0"/>
    <n v="9"/>
    <n v="0"/>
    <n v="0"/>
    <n v="0"/>
    <n v="0"/>
    <m/>
    <m/>
    <m/>
    <m/>
    <m/>
    <n v="9"/>
    <n v="513285"/>
    <n v="169757"/>
    <s v="Hampton"/>
  </r>
  <r>
    <s v="18/3815/GPD15"/>
    <x v="1"/>
    <x v="1"/>
    <d v="2019-01-18T00:00:00"/>
    <d v="2022-01-18T00:00:00"/>
    <d v="2019-11-15T00:00:00"/>
    <m/>
    <x v="1"/>
    <x v="0"/>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x v="0"/>
    <n v="0"/>
    <n v="8"/>
    <n v="0"/>
    <n v="0"/>
    <n v="0"/>
    <n v="0"/>
    <m/>
    <m/>
    <m/>
    <m/>
    <m/>
    <n v="8"/>
    <n v="517565"/>
    <n v="169582"/>
    <s v="Hampton Wick"/>
  </r>
  <r>
    <s v="18/3941/GPD15"/>
    <x v="1"/>
    <x v="1"/>
    <d v="2019-01-30T00:00:00"/>
    <d v="2022-01-30T00:00:00"/>
    <d v="2019-09-14T00:00:00"/>
    <d v="2020-09-02T00:00:00"/>
    <x v="1"/>
    <x v="0"/>
    <m/>
    <s v="Change of use from office (B1) to three residential units (C3), with associated car parking provision."/>
    <s v="Sherwood House_x000d_Forest Road_x000d_Kew_x000d_TW9 3BY_x000d_"/>
    <s v="TW9 3BY"/>
    <m/>
    <m/>
    <m/>
    <m/>
    <m/>
    <m/>
    <m/>
    <m/>
    <n v="0"/>
    <m/>
    <m/>
    <n v="1"/>
    <n v="2"/>
    <m/>
    <m/>
    <m/>
    <m/>
    <m/>
    <n v="3"/>
    <n v="0"/>
    <n v="1"/>
    <n v="2"/>
    <n v="0"/>
    <n v="0"/>
    <n v="0"/>
    <n v="0"/>
    <n v="0"/>
    <n v="3"/>
    <x v="0"/>
    <n v="0"/>
    <n v="3"/>
    <n v="0"/>
    <n v="0"/>
    <n v="0"/>
    <n v="0"/>
    <m/>
    <m/>
    <m/>
    <m/>
    <m/>
    <n v="3"/>
    <n v="519311"/>
    <n v="177214"/>
    <s v="Kew"/>
  </r>
  <r>
    <s v="19/0092/FUL"/>
    <x v="3"/>
    <x v="0"/>
    <d v="2019-07-03T00:00:00"/>
    <d v="2022-07-03T00:00:00"/>
    <d v="2019-08-14T00:00:00"/>
    <d v="2020-09-15T00:00:00"/>
    <x v="1"/>
    <x v="0"/>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x v="0"/>
    <n v="0"/>
    <n v="1"/>
    <n v="0"/>
    <n v="0"/>
    <n v="0"/>
    <n v="0"/>
    <m/>
    <m/>
    <m/>
    <m/>
    <m/>
    <n v="1"/>
    <n v="513733"/>
    <n v="174333"/>
    <s v="Whitton"/>
  </r>
  <r>
    <s v="19/0111/FUL"/>
    <x v="3"/>
    <x v="0"/>
    <d v="2019-12-12T00:00:00"/>
    <d v="2022-12-12T00:00:00"/>
    <d v="2020-03-30T00:00:00"/>
    <m/>
    <x v="1"/>
    <x v="0"/>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x v="0"/>
    <n v="0"/>
    <n v="0"/>
    <n v="20.5"/>
    <n v="20.5"/>
    <n v="0"/>
    <n v="0"/>
    <m/>
    <m/>
    <m/>
    <m/>
    <m/>
    <n v="41"/>
    <n v="517598"/>
    <n v="169722"/>
    <s v="Hampton Wick"/>
  </r>
  <r>
    <s v="19/0181/GPD15"/>
    <x v="1"/>
    <x v="1"/>
    <d v="2019-03-06T00:00:00"/>
    <d v="2022-03-06T00:00:00"/>
    <d v="2019-05-13T00:00:00"/>
    <d v="2020-07-02T00:00:00"/>
    <x v="1"/>
    <x v="0"/>
    <m/>
    <s v="Change of use from B1 (Offices) to C3(a) (Dwellings) (1 x 1 bed)."/>
    <s v="95 South Worple Way_x000d_East Sheen_x000d_London_x000d_SW14 8ND_x000d_"/>
    <s v="SW14 8ND"/>
    <m/>
    <m/>
    <m/>
    <m/>
    <m/>
    <m/>
    <m/>
    <m/>
    <n v="0"/>
    <m/>
    <n v="1"/>
    <m/>
    <m/>
    <m/>
    <m/>
    <m/>
    <m/>
    <m/>
    <n v="1"/>
    <n v="1"/>
    <n v="0"/>
    <n v="0"/>
    <n v="0"/>
    <n v="0"/>
    <n v="0"/>
    <n v="0"/>
    <n v="0"/>
    <n v="1"/>
    <x v="0"/>
    <n v="0"/>
    <n v="1"/>
    <n v="0"/>
    <n v="0"/>
    <n v="0"/>
    <n v="0"/>
    <m/>
    <m/>
    <m/>
    <m/>
    <m/>
    <n v="1"/>
    <n v="520540"/>
    <n v="175748"/>
    <s v="East Sheen"/>
  </r>
  <r>
    <s v="19/0347/GPD15"/>
    <x v="1"/>
    <x v="1"/>
    <d v="2019-03-12T00:00:00"/>
    <d v="2022-03-13T00:00:00"/>
    <d v="2019-04-01T00:00:00"/>
    <m/>
    <x v="1"/>
    <x v="0"/>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x v="0"/>
    <n v="0"/>
    <n v="4"/>
    <n v="0"/>
    <n v="0"/>
    <n v="0"/>
    <n v="0"/>
    <m/>
    <m/>
    <m/>
    <m/>
    <m/>
    <n v="4"/>
    <n v="515383"/>
    <n v="173139"/>
    <s v="South Twickenham"/>
  </r>
  <r>
    <s v="19/0386/FUL"/>
    <x v="0"/>
    <x v="0"/>
    <d v="2019-07-05T00:00:00"/>
    <d v="2022-07-05T00:00:00"/>
    <d v="2020-01-06T00:00:00"/>
    <m/>
    <x v="1"/>
    <x v="0"/>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x v="0"/>
    <n v="0"/>
    <n v="0"/>
    <n v="0"/>
    <n v="0"/>
    <n v="0"/>
    <n v="0"/>
    <m/>
    <m/>
    <m/>
    <m/>
    <m/>
    <n v="0"/>
    <n v="514120"/>
    <n v="173638"/>
    <s v="Whitton"/>
  </r>
  <r>
    <s v="19/0551/FUL"/>
    <x v="2"/>
    <x v="0"/>
    <d v="2019-08-21T00:00:00"/>
    <d v="2022-08-21T00:00:00"/>
    <d v="2019-11-04T00:00:00"/>
    <m/>
    <x v="1"/>
    <x v="0"/>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x v="0"/>
    <n v="0"/>
    <n v="-1"/>
    <n v="0"/>
    <n v="0"/>
    <n v="0"/>
    <n v="0"/>
    <m/>
    <m/>
    <m/>
    <m/>
    <m/>
    <n v="-1"/>
    <n v="518458"/>
    <n v="175501"/>
    <s v="North Richmond"/>
  </r>
  <r>
    <s v="19/0772/GPD15"/>
    <x v="1"/>
    <x v="1"/>
    <d v="2019-05-09T00:00:00"/>
    <d v="2022-05-09T00:00:00"/>
    <d v="2020-03-02T00:00:00"/>
    <m/>
    <x v="1"/>
    <x v="0"/>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x v="0"/>
    <n v="0"/>
    <n v="3"/>
    <n v="0"/>
    <n v="0"/>
    <n v="0"/>
    <n v="0"/>
    <m/>
    <m/>
    <m/>
    <m/>
    <m/>
    <n v="3"/>
    <n v="515069"/>
    <n v="172813"/>
    <s v="West Twickenham"/>
  </r>
  <r>
    <s v="19/0867/FUL"/>
    <x v="3"/>
    <x v="0"/>
    <d v="2019-06-03T00:00:00"/>
    <d v="2022-06-04T00:00:00"/>
    <d v="2019-09-23T00:00:00"/>
    <d v="2020-06-04T00:00:00"/>
    <x v="1"/>
    <x v="0"/>
    <m/>
    <s v="Conversion of ground and first floor store rooms and single-storey extension to form a new maisonette."/>
    <s v="383 St Margarets Road_x000d_Twickenham_x000d_TW1 1PP"/>
    <s v="TW1 1PP"/>
    <m/>
    <m/>
    <m/>
    <m/>
    <m/>
    <m/>
    <m/>
    <m/>
    <n v="0"/>
    <m/>
    <n v="1"/>
    <m/>
    <m/>
    <m/>
    <m/>
    <m/>
    <m/>
    <m/>
    <n v="1"/>
    <n v="1"/>
    <n v="0"/>
    <n v="0"/>
    <n v="0"/>
    <n v="0"/>
    <n v="0"/>
    <n v="0"/>
    <n v="0"/>
    <n v="1"/>
    <x v="0"/>
    <n v="0"/>
    <n v="1"/>
    <n v="0"/>
    <n v="0"/>
    <n v="0"/>
    <n v="0"/>
    <m/>
    <m/>
    <m/>
    <m/>
    <m/>
    <n v="1"/>
    <n v="516556"/>
    <n v="175236"/>
    <s v="St. Margarets and North Twickenham"/>
  </r>
  <r>
    <s v="19/0893/FUL"/>
    <x v="1"/>
    <x v="0"/>
    <d v="2019-08-12T00:00:00"/>
    <d v="2022-08-12T00:00:00"/>
    <d v="2020-02-03T00:00:00"/>
    <m/>
    <x v="1"/>
    <x v="0"/>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x v="0"/>
    <n v="0"/>
    <n v="1"/>
    <n v="0"/>
    <n v="0"/>
    <n v="0"/>
    <n v="0"/>
    <m/>
    <m/>
    <m/>
    <m/>
    <m/>
    <n v="1"/>
    <n v="518999"/>
    <n v="177227"/>
    <s v="Kew"/>
  </r>
  <r>
    <s v="19/0950/FUL"/>
    <x v="1"/>
    <x v="0"/>
    <d v="2019-08-13T00:00:00"/>
    <d v="2022-08-13T00:00:00"/>
    <d v="2020-01-28T00:00:00"/>
    <m/>
    <x v="1"/>
    <x v="0"/>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x v="0"/>
    <n v="0"/>
    <n v="1"/>
    <n v="0"/>
    <n v="0"/>
    <n v="0"/>
    <n v="0"/>
    <m/>
    <m/>
    <m/>
    <m/>
    <m/>
    <n v="1"/>
    <n v="517726"/>
    <n v="174837"/>
    <s v="South Richmond"/>
  </r>
  <r>
    <s v="19/0954/VRC"/>
    <x v="0"/>
    <x v="0"/>
    <d v="2019-10-16T00:00:00"/>
    <d v="2020-10-06T00:00:00"/>
    <d v="2019-07-24T00:00:00"/>
    <m/>
    <x v="1"/>
    <x v="0"/>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x v="0"/>
    <n v="0"/>
    <n v="0"/>
    <n v="0"/>
    <n v="0"/>
    <n v="0"/>
    <n v="0"/>
    <m/>
    <m/>
    <m/>
    <m/>
    <m/>
    <n v="0"/>
    <n v="518209"/>
    <n v="174625"/>
    <s v="South Richmond"/>
  </r>
  <r>
    <s v="19/0974/FUL"/>
    <x v="2"/>
    <x v="0"/>
    <d v="2019-08-02T00:00:00"/>
    <d v="2022-08-02T00:00:00"/>
    <d v="2020-02-11T00:00:00"/>
    <m/>
    <x v="1"/>
    <x v="0"/>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x v="0"/>
    <n v="0"/>
    <n v="6"/>
    <n v="0"/>
    <n v="0"/>
    <n v="0"/>
    <n v="0"/>
    <m/>
    <m/>
    <m/>
    <m/>
    <m/>
    <n v="6"/>
    <n v="517453"/>
    <n v="169423"/>
    <s v="Hampton Wick"/>
  </r>
  <r>
    <s v="19/1332/GPD13"/>
    <x v="1"/>
    <x v="1"/>
    <d v="2019-07-11T00:00:00"/>
    <d v="2022-07-11T00:00:00"/>
    <d v="2019-08-01T00:00:00"/>
    <d v="2020-06-05T00:00:00"/>
    <x v="1"/>
    <x v="0"/>
    <m/>
    <s v="Change of use of the ground floor unit from A1 (hairdresser) to C3 (residential) to provide a 1 bed flat."/>
    <s v="70 Hounslow Road_x000d_Twickenham_x000d_TW2 7EX_x000d_"/>
    <s v="TW2 7EX"/>
    <m/>
    <m/>
    <m/>
    <m/>
    <m/>
    <m/>
    <m/>
    <m/>
    <n v="0"/>
    <m/>
    <n v="1"/>
    <m/>
    <m/>
    <m/>
    <m/>
    <m/>
    <m/>
    <m/>
    <n v="1"/>
    <n v="1"/>
    <n v="0"/>
    <n v="0"/>
    <n v="0"/>
    <n v="0"/>
    <n v="0"/>
    <n v="0"/>
    <n v="0"/>
    <n v="1"/>
    <x v="0"/>
    <n v="0"/>
    <n v="1"/>
    <n v="0"/>
    <n v="0"/>
    <n v="0"/>
    <n v="0"/>
    <m/>
    <m/>
    <m/>
    <m/>
    <m/>
    <n v="1"/>
    <n v="514126"/>
    <n v="174159"/>
    <s v="Whitton"/>
  </r>
  <r>
    <s v="19/1455/FUL"/>
    <x v="2"/>
    <x v="0"/>
    <d v="2019-08-06T00:00:00"/>
    <d v="2022-08-06T00:00:00"/>
    <d v="2020-01-16T00:00:00"/>
    <m/>
    <x v="1"/>
    <x v="0"/>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x v="0"/>
    <n v="0"/>
    <n v="1"/>
    <n v="0"/>
    <n v="0"/>
    <n v="0"/>
    <n v="0"/>
    <m/>
    <m/>
    <m/>
    <m/>
    <m/>
    <n v="1"/>
    <n v="520308"/>
    <n v="175588"/>
    <s v="East Sheen"/>
  </r>
  <r>
    <s v="19/1502/FUL"/>
    <x v="1"/>
    <x v="0"/>
    <d v="2019-07-22T00:00:00"/>
    <d v="2022-07-22T00:00:00"/>
    <d v="2019-09-19T00:00:00"/>
    <d v="2020-07-30T00:00:00"/>
    <x v="1"/>
    <x v="0"/>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x v="0"/>
    <n v="0"/>
    <n v="0"/>
    <n v="0"/>
    <n v="0"/>
    <n v="0"/>
    <n v="0"/>
    <m/>
    <m/>
    <m/>
    <m/>
    <m/>
    <n v="0"/>
    <n v="521312"/>
    <n v="175859"/>
    <s v="Mortlake and Barnes Common"/>
  </r>
  <r>
    <s v="19/1620/GPD15"/>
    <x v="1"/>
    <x v="1"/>
    <d v="2019-07-26T00:00:00"/>
    <d v="2021-04-03T00:00:00"/>
    <m/>
    <d v="2020-04-20T00:00:00"/>
    <x v="1"/>
    <x v="0"/>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x v="0"/>
    <n v="0"/>
    <n v="2"/>
    <n v="0"/>
    <n v="0"/>
    <n v="0"/>
    <n v="0"/>
    <m/>
    <m/>
    <m/>
    <m/>
    <m/>
    <n v="2"/>
    <n v="518741"/>
    <n v="175360"/>
    <s v="North Richmond"/>
  </r>
  <r>
    <s v="19/1622/FUL"/>
    <x v="1"/>
    <x v="0"/>
    <d v="2019-10-18T00:00:00"/>
    <d v="2022-10-18T00:00:00"/>
    <d v="2020-03-31T00:00:00"/>
    <m/>
    <x v="1"/>
    <x v="0"/>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x v="0"/>
    <n v="0"/>
    <n v="1"/>
    <n v="0"/>
    <n v="0"/>
    <n v="0"/>
    <n v="0"/>
    <m/>
    <m/>
    <m/>
    <m/>
    <m/>
    <n v="1"/>
    <n v="515069"/>
    <n v="172813"/>
    <s v="West Twickenham"/>
  </r>
  <r>
    <s v="19/1978/FUL"/>
    <x v="2"/>
    <x v="0"/>
    <d v="2019-11-11T00:00:00"/>
    <d v="2022-11-11T00:00:00"/>
    <d v="2019-11-18T00:00:00"/>
    <m/>
    <x v="1"/>
    <x v="0"/>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x v="0"/>
    <n v="0"/>
    <n v="-1"/>
    <n v="0"/>
    <n v="0"/>
    <n v="0"/>
    <n v="0"/>
    <m/>
    <m/>
    <m/>
    <m/>
    <m/>
    <n v="-1"/>
    <n v="518508"/>
    <n v="174268"/>
    <s v="South Richmond"/>
  </r>
  <r>
    <s v="19/2377/GPD15"/>
    <x v="1"/>
    <x v="1"/>
    <d v="2019-09-30T00:00:00"/>
    <d v="2022-09-30T00:00:00"/>
    <d v="2020-02-17T00:00:00"/>
    <m/>
    <x v="1"/>
    <x v="0"/>
    <m/>
    <s v="Partial change of use from office to residential (4 No flats)."/>
    <s v="122 - 124 St Margarets Road_x000d_Twickenham_x000d__x000d_"/>
    <s v="TW1 2LH"/>
    <m/>
    <m/>
    <m/>
    <m/>
    <m/>
    <m/>
    <m/>
    <m/>
    <n v="0"/>
    <m/>
    <m/>
    <n v="4"/>
    <m/>
    <m/>
    <m/>
    <m/>
    <m/>
    <m/>
    <n v="4"/>
    <n v="0"/>
    <n v="4"/>
    <n v="0"/>
    <n v="0"/>
    <n v="0"/>
    <n v="0"/>
    <n v="0"/>
    <n v="0"/>
    <n v="4"/>
    <x v="0"/>
    <n v="0"/>
    <n v="4"/>
    <n v="0"/>
    <n v="0"/>
    <n v="0"/>
    <n v="0"/>
    <m/>
    <m/>
    <m/>
    <m/>
    <m/>
    <n v="4"/>
    <n v="516843"/>
    <n v="174266"/>
    <s v="St. Margarets and North Twickenham"/>
  </r>
  <r>
    <s v="19/3852/GPD15"/>
    <x v="1"/>
    <x v="1"/>
    <d v="2020-02-06T00:00:00"/>
    <d v="2023-02-06T00:00:00"/>
    <d v="2020-02-10T00:00:00"/>
    <m/>
    <x v="1"/>
    <x v="0"/>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x v="0"/>
    <n v="0"/>
    <n v="2"/>
    <n v="0"/>
    <n v="0"/>
    <n v="0"/>
    <n v="0"/>
    <m/>
    <m/>
    <m/>
    <m/>
    <m/>
    <n v="2"/>
    <n v="520890"/>
    <n v="175755"/>
    <s v="Mortlake and Barnes Common"/>
  </r>
  <r>
    <s v="19/3913/GPD15"/>
    <x v="1"/>
    <x v="1"/>
    <d v="2020-02-14T00:00:00"/>
    <d v="2020-06-30T00:00:00"/>
    <d v="2020-03-02T00:00:00"/>
    <m/>
    <x v="1"/>
    <x v="0"/>
    <m/>
    <s v="Change of use from office (B1A )to residential  (C3) to create 2x 1 bedroom flats"/>
    <s v="2A Talbot Road_x000d_Isleworth_x000d_TW7 7HH_x000d_"/>
    <s v="TW7 7HH"/>
    <m/>
    <m/>
    <m/>
    <m/>
    <m/>
    <m/>
    <m/>
    <m/>
    <n v="0"/>
    <m/>
    <n v="2"/>
    <m/>
    <m/>
    <m/>
    <m/>
    <m/>
    <m/>
    <m/>
    <n v="2"/>
    <n v="2"/>
    <n v="0"/>
    <n v="0"/>
    <n v="0"/>
    <n v="0"/>
    <n v="0"/>
    <n v="0"/>
    <n v="0"/>
    <n v="2"/>
    <x v="0"/>
    <n v="0"/>
    <n v="2"/>
    <n v="0"/>
    <n v="0"/>
    <n v="0"/>
    <n v="0"/>
    <m/>
    <m/>
    <m/>
    <m/>
    <m/>
    <n v="2"/>
    <n v="516541"/>
    <n v="175254"/>
    <s v="St. Margarets and North Twickenham"/>
  </r>
  <r>
    <s v="19/1669/FUL"/>
    <x v="1"/>
    <x v="0"/>
    <d v="2019-08-23T00:00:00"/>
    <d v="2022-08-23T00:00:00"/>
    <d v="2019-11-11T00:00:00"/>
    <m/>
    <x v="1"/>
    <x v="0"/>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x v="0"/>
    <n v="0"/>
    <n v="0"/>
    <n v="0"/>
    <n v="0"/>
    <n v="0"/>
    <n v="0"/>
    <m/>
    <m/>
    <m/>
    <m/>
    <m/>
    <n v="0"/>
    <n v="517949"/>
    <n v="174356"/>
    <s v="Ham, Petersham and Richmond Riverside"/>
  </r>
  <r>
    <s v="15/2204/FUL"/>
    <x v="0"/>
    <x v="0"/>
    <d v="2018-07-03T00:00:00"/>
    <d v="2021-07-03T00:00:00"/>
    <m/>
    <m/>
    <x v="2"/>
    <x v="0"/>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x v="0"/>
    <n v="0"/>
    <n v="0"/>
    <n v="0.25"/>
    <n v="0.25"/>
    <n v="0.25"/>
    <n v="0.25"/>
    <m/>
    <m/>
    <m/>
    <m/>
    <m/>
    <n v="1"/>
    <n v="514174"/>
    <n v="174381"/>
    <s v="Whitton"/>
  </r>
  <r>
    <s v="15/3296/FUL"/>
    <x v="0"/>
    <x v="0"/>
    <d v="2019-08-13T00:00:00"/>
    <d v="2022-08-13T00:00:00"/>
    <m/>
    <m/>
    <x v="2"/>
    <x v="1"/>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x v="0"/>
    <n v="0"/>
    <n v="0"/>
    <n v="1.25"/>
    <n v="1.25"/>
    <n v="1.25"/>
    <n v="1.25"/>
    <m/>
    <m/>
    <m/>
    <m/>
    <m/>
    <n v="5"/>
    <n v="517328"/>
    <n v="170954"/>
    <s v="Hampton Wick"/>
  </r>
  <r>
    <s v="15/3297/FUL"/>
    <x v="0"/>
    <x v="0"/>
    <d v="2019-08-13T00:00:00"/>
    <d v="2022-08-13T00:00:00"/>
    <m/>
    <m/>
    <x v="2"/>
    <x v="1"/>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x v="0"/>
    <n v="0"/>
    <n v="0"/>
    <n v="0.5"/>
    <n v="0.5"/>
    <n v="0.5"/>
    <n v="0.5"/>
    <m/>
    <m/>
    <m/>
    <m/>
    <m/>
    <n v="2"/>
    <n v="517351"/>
    <n v="170884"/>
    <s v="Hampton Wick"/>
  </r>
  <r>
    <s v="15/4581/FUL"/>
    <x v="0"/>
    <x v="0"/>
    <d v="2018-04-23T00:00:00"/>
    <d v="2021-04-23T00:00:00"/>
    <m/>
    <m/>
    <x v="2"/>
    <x v="0"/>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x v="0"/>
    <n v="0"/>
    <n v="0"/>
    <n v="1.5"/>
    <n v="1.5"/>
    <n v="1.5"/>
    <n v="1.5"/>
    <m/>
    <m/>
    <m/>
    <m/>
    <m/>
    <n v="6"/>
    <n v="513825"/>
    <n v="169567"/>
    <s v="Hampton"/>
  </r>
  <r>
    <s v="15/4586/FUL"/>
    <x v="0"/>
    <x v="0"/>
    <d v="2017-07-11T00:00:00"/>
    <d v="2020-07-11T00:00:00"/>
    <m/>
    <m/>
    <x v="2"/>
    <x v="0"/>
    <m/>
    <s v="Erection of a two-storey replacement dwellinghouse with attic space."/>
    <s v="257 Waldegrave Road_x000d_Twickenham_x000d_TW1 4SY_x000d_"/>
    <s v="TW1 4SY"/>
    <m/>
    <m/>
    <m/>
    <n v="1"/>
    <m/>
    <m/>
    <m/>
    <m/>
    <n v="1"/>
    <m/>
    <m/>
    <m/>
    <m/>
    <m/>
    <n v="1"/>
    <m/>
    <m/>
    <m/>
    <n v="1"/>
    <n v="0"/>
    <n v="0"/>
    <n v="0"/>
    <n v="-1"/>
    <n v="1"/>
    <n v="0"/>
    <n v="0"/>
    <n v="0"/>
    <n v="0"/>
    <x v="0"/>
    <n v="0"/>
    <n v="0"/>
    <n v="0"/>
    <n v="0"/>
    <n v="0"/>
    <n v="0"/>
    <m/>
    <m/>
    <m/>
    <m/>
    <m/>
    <n v="0"/>
    <n v="515611"/>
    <n v="172008"/>
    <s v="South Twickenham"/>
  </r>
  <r>
    <s v="16/0510/FUL"/>
    <x v="1"/>
    <x v="0"/>
    <d v="2018-07-19T00:00:00"/>
    <d v="2021-07-19T00:00:00"/>
    <m/>
    <m/>
    <x v="2"/>
    <x v="0"/>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x v="0"/>
    <n v="0"/>
    <n v="0"/>
    <n v="0.5"/>
    <n v="0.5"/>
    <n v="0.5"/>
    <n v="0.5"/>
    <m/>
    <m/>
    <m/>
    <m/>
    <m/>
    <n v="2"/>
    <n v="518392"/>
    <n v="175032"/>
    <s v="South Richmond"/>
  </r>
  <r>
    <s v="16/0606/FUL"/>
    <x v="3"/>
    <x v="0"/>
    <d v="2017-09-05T00:00:00"/>
    <d v="2020-09-05T00:00:00"/>
    <m/>
    <m/>
    <x v="2"/>
    <x v="0"/>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x v="0"/>
    <n v="0"/>
    <n v="0"/>
    <n v="28"/>
    <n v="0"/>
    <n v="0"/>
    <n v="0"/>
    <m/>
    <m/>
    <m/>
    <m/>
    <m/>
    <n v="28"/>
    <n v="513766"/>
    <n v="169736"/>
    <s v="Hampton"/>
  </r>
  <r>
    <s v="16/0647/FUL"/>
    <x v="0"/>
    <x v="0"/>
    <d v="2017-05-30T00:00:00"/>
    <d v="2021-04-16T00:00:00"/>
    <m/>
    <m/>
    <x v="2"/>
    <x v="0"/>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x v="0"/>
    <n v="0"/>
    <n v="0"/>
    <n v="0.5"/>
    <n v="0.5"/>
    <n v="0.5"/>
    <n v="0.5"/>
    <m/>
    <m/>
    <m/>
    <m/>
    <m/>
    <n v="2"/>
    <n v="516905"/>
    <n v="170733"/>
    <s v="Hampton Wick"/>
  </r>
  <r>
    <s v="16/2288/FUL"/>
    <x v="4"/>
    <x v="0"/>
    <d v="2018-08-22T00:00:00"/>
    <d v="2021-08-22T00:00:00"/>
    <d v="2020-09-15T00:00:00"/>
    <m/>
    <x v="2"/>
    <x v="0"/>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x v="0"/>
    <n v="0"/>
    <n v="3.5"/>
    <n v="3.5"/>
    <n v="0"/>
    <n v="0"/>
    <n v="0"/>
    <m/>
    <m/>
    <m/>
    <m/>
    <m/>
    <n v="7"/>
    <n v="514440"/>
    <n v="171238"/>
    <s v="Fulwell and Hampton Hill"/>
  </r>
  <r>
    <s v="16/2704/FUL"/>
    <x v="0"/>
    <x v="0"/>
    <d v="2018-01-25T00:00:00"/>
    <d v="2021-01-25T00:00:00"/>
    <m/>
    <m/>
    <x v="2"/>
    <x v="0"/>
    <m/>
    <s v="Demolition of existing dwelling and erection of a replacement dwelling."/>
    <s v="3 Berwyn Road_x000d_Richmond_x000d_TW10 5BP_x000d_"/>
    <s v="TW10 5BP"/>
    <m/>
    <m/>
    <m/>
    <n v="1"/>
    <m/>
    <m/>
    <m/>
    <m/>
    <n v="1"/>
    <m/>
    <m/>
    <m/>
    <m/>
    <m/>
    <n v="1"/>
    <m/>
    <m/>
    <m/>
    <n v="1"/>
    <n v="0"/>
    <n v="0"/>
    <n v="0"/>
    <n v="-1"/>
    <n v="1"/>
    <n v="0"/>
    <n v="0"/>
    <n v="0"/>
    <n v="0"/>
    <x v="0"/>
    <n v="0"/>
    <n v="0"/>
    <n v="0"/>
    <n v="0"/>
    <n v="0"/>
    <n v="0"/>
    <m/>
    <m/>
    <m/>
    <m/>
    <m/>
    <n v="0"/>
    <n v="519633"/>
    <n v="174966"/>
    <s v="South Richmond"/>
  </r>
  <r>
    <s v="16/2736/FUL"/>
    <x v="0"/>
    <x v="0"/>
    <d v="2017-05-26T00:00:00"/>
    <d v="2020-05-26T00:00:00"/>
    <m/>
    <m/>
    <x v="2"/>
    <x v="0"/>
    <m/>
    <s v="Demolition of existing detached dwelling and construction of new 4 bed house."/>
    <s v="Downlands_x000d_Petersham Close_x000d_Petersham_x000d_Richmond_x000d_TW10 7DZ_x000d_"/>
    <s v="TW10 7DZ"/>
    <m/>
    <m/>
    <m/>
    <n v="1"/>
    <m/>
    <m/>
    <m/>
    <m/>
    <n v="1"/>
    <m/>
    <m/>
    <m/>
    <m/>
    <m/>
    <n v="1"/>
    <m/>
    <m/>
    <m/>
    <n v="1"/>
    <n v="0"/>
    <n v="0"/>
    <n v="0"/>
    <n v="-1"/>
    <n v="1"/>
    <n v="0"/>
    <n v="0"/>
    <n v="0"/>
    <n v="0"/>
    <x v="0"/>
    <n v="0"/>
    <n v="0"/>
    <n v="0"/>
    <n v="0"/>
    <n v="0"/>
    <n v="0"/>
    <m/>
    <m/>
    <m/>
    <m/>
    <m/>
    <n v="0"/>
    <n v="517972"/>
    <n v="172874"/>
    <s v="Ham, Petersham and Richmond Riverside"/>
  </r>
  <r>
    <s v="16/2822/FUL"/>
    <x v="4"/>
    <x v="0"/>
    <d v="2017-05-11T00:00:00"/>
    <d v="2020-05-11T00:00:00"/>
    <m/>
    <m/>
    <x v="2"/>
    <x v="0"/>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x v="0"/>
    <n v="0"/>
    <n v="0"/>
    <n v="0.5"/>
    <n v="0.5"/>
    <n v="0.5"/>
    <n v="0.5"/>
    <m/>
    <m/>
    <m/>
    <m/>
    <m/>
    <n v="2"/>
    <n v="514331"/>
    <n v="172184"/>
    <s v="West Twickenham"/>
  </r>
  <r>
    <s v="16/4384/FUL"/>
    <x v="0"/>
    <x v="0"/>
    <d v="2017-10-27T00:00:00"/>
    <d v="2020-10-27T00:00:00"/>
    <m/>
    <m/>
    <x v="2"/>
    <x v="0"/>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x v="0"/>
    <n v="0"/>
    <n v="0"/>
    <n v="0.25"/>
    <n v="0.25"/>
    <n v="0.25"/>
    <n v="0.25"/>
    <m/>
    <m/>
    <m/>
    <m/>
    <m/>
    <n v="1"/>
    <n v="520624"/>
    <n v="175780"/>
    <s v="Mortlake and Barnes Common"/>
  </r>
  <r>
    <s v="16/4553/FUL"/>
    <x v="0"/>
    <x v="0"/>
    <d v="2018-05-31T00:00:00"/>
    <d v="2021-05-31T00:00:00"/>
    <m/>
    <m/>
    <x v="2"/>
    <x v="0"/>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x v="0"/>
    <n v="0"/>
    <n v="0"/>
    <n v="0"/>
    <n v="0"/>
    <n v="0"/>
    <n v="0"/>
    <n v="7.6"/>
    <n v="7.6"/>
    <n v="7.6"/>
    <n v="7.6"/>
    <n v="7.6"/>
    <n v="38"/>
    <n v="514240"/>
    <n v="170830"/>
    <s v="Fulwell and Hampton Hill"/>
  </r>
  <r>
    <s v="16/4587/FUL"/>
    <x v="1"/>
    <x v="0"/>
    <d v="2017-06-27T00:00:00"/>
    <d v="2020-06-27T00:00:00"/>
    <d v="2020-06-02T00:00:00"/>
    <m/>
    <x v="2"/>
    <x v="0"/>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x v="0"/>
    <n v="0"/>
    <n v="1"/>
    <n v="0"/>
    <n v="0"/>
    <n v="0"/>
    <n v="0"/>
    <m/>
    <m/>
    <m/>
    <m/>
    <m/>
    <n v="1"/>
    <n v="520283"/>
    <n v="175017"/>
    <s v="East Sheen"/>
  </r>
  <r>
    <s v="17/0315/FUL"/>
    <x v="3"/>
    <x v="0"/>
    <d v="2018-06-12T00:00:00"/>
    <d v="2021-06-12T00:00:00"/>
    <m/>
    <m/>
    <x v="2"/>
    <x v="0"/>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x v="0"/>
    <n v="0"/>
    <n v="0"/>
    <n v="1"/>
    <n v="1"/>
    <n v="1"/>
    <n v="1"/>
    <m/>
    <m/>
    <m/>
    <m/>
    <m/>
    <n v="4"/>
    <n v="517591"/>
    <n v="174434"/>
    <s v="Twickenham Riverside"/>
  </r>
  <r>
    <s v="17/0341/GPD13"/>
    <x v="1"/>
    <x v="1"/>
    <d v="2017-04-24T00:00:00"/>
    <d v="2020-04-24T00:00:00"/>
    <m/>
    <m/>
    <x v="2"/>
    <x v="0"/>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x v="0"/>
    <n v="0"/>
    <n v="0"/>
    <n v="0.25"/>
    <n v="0.25"/>
    <n v="0.25"/>
    <n v="0.25"/>
    <m/>
    <m/>
    <m/>
    <m/>
    <m/>
    <n v="1"/>
    <n v="516015"/>
    <n v="170858"/>
    <s v="Teddington"/>
  </r>
  <r>
    <s v="17/0346/FUL"/>
    <x v="2"/>
    <x v="0"/>
    <d v="2017-08-31T00:00:00"/>
    <d v="2020-08-31T00:00:00"/>
    <m/>
    <m/>
    <x v="2"/>
    <x v="0"/>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x v="0"/>
    <n v="0"/>
    <n v="0"/>
    <n v="0.25"/>
    <n v="0.25"/>
    <n v="0.25"/>
    <n v="0.25"/>
    <m/>
    <m/>
    <m/>
    <m/>
    <m/>
    <n v="1"/>
    <n v="519014"/>
    <n v="175279"/>
    <s v="North Richmond"/>
  </r>
  <r>
    <s v="17/0600/FUL"/>
    <x v="1"/>
    <x v="0"/>
    <d v="2018-01-19T00:00:00"/>
    <d v="2021-01-19T00:00:00"/>
    <m/>
    <m/>
    <x v="2"/>
    <x v="0"/>
    <m/>
    <s v="Change of use from existing open hall (D1) into 2 x residential apartments (C3). _x000d_"/>
    <s v="2-4 _x000d_Heath Road_x000d_Twickenham_x000d_TW1 4BZ"/>
    <s v="TW1 4BZ"/>
    <m/>
    <m/>
    <m/>
    <m/>
    <m/>
    <m/>
    <m/>
    <m/>
    <n v="0"/>
    <m/>
    <n v="2"/>
    <m/>
    <m/>
    <m/>
    <m/>
    <m/>
    <m/>
    <m/>
    <n v="2"/>
    <n v="2"/>
    <n v="0"/>
    <n v="0"/>
    <n v="0"/>
    <n v="0"/>
    <n v="0"/>
    <n v="0"/>
    <n v="0"/>
    <n v="2"/>
    <x v="0"/>
    <n v="0"/>
    <n v="0"/>
    <n v="0.5"/>
    <n v="0.5"/>
    <n v="0.5"/>
    <n v="0.5"/>
    <m/>
    <m/>
    <m/>
    <m/>
    <m/>
    <n v="2"/>
    <n v="516126"/>
    <n v="173185"/>
    <s v="Twickenham Riverside"/>
  </r>
  <r>
    <s v="17/0788/FUL"/>
    <x v="0"/>
    <x v="0"/>
    <d v="2017-11-17T00:00:00"/>
    <d v="2021-01-08T00:00:00"/>
    <m/>
    <m/>
    <x v="2"/>
    <x v="0"/>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x v="0"/>
    <n v="0"/>
    <n v="0"/>
    <n v="0.25"/>
    <n v="0.25"/>
    <n v="0.25"/>
    <n v="0.25"/>
    <m/>
    <m/>
    <m/>
    <m/>
    <m/>
    <n v="1"/>
    <n v="516399"/>
    <n v="171470"/>
    <s v="Teddington"/>
  </r>
  <r>
    <s v="17/0798/FUL"/>
    <x v="0"/>
    <x v="0"/>
    <d v="2017-12-01T00:00:00"/>
    <d v="2020-12-01T00:00:00"/>
    <m/>
    <m/>
    <x v="2"/>
    <x v="0"/>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x v="0"/>
    <n v="0"/>
    <n v="0"/>
    <n v="0.25"/>
    <n v="0.25"/>
    <n v="0.25"/>
    <n v="0.25"/>
    <m/>
    <m/>
    <m/>
    <m/>
    <m/>
    <n v="1"/>
    <n v="514058"/>
    <n v="174409"/>
    <s v="Whitton"/>
  </r>
  <r>
    <s v="17/1033/FUL"/>
    <x v="0"/>
    <x v="0"/>
    <d v="2017-09-19T00:00:00"/>
    <d v="2021-05-23T00:00:00"/>
    <m/>
    <m/>
    <x v="2"/>
    <x v="0"/>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x v="0"/>
    <n v="0"/>
    <n v="0"/>
    <n v="2.25"/>
    <n v="2.25"/>
    <n v="2.25"/>
    <n v="2.25"/>
    <m/>
    <m/>
    <m/>
    <m/>
    <m/>
    <n v="9"/>
    <n v="515337"/>
    <n v="173383"/>
    <s v="South Twickenham"/>
  </r>
  <r>
    <s v="17/1139/GPD15"/>
    <x v="1"/>
    <x v="1"/>
    <d v="2017-05-31T00:00:00"/>
    <d v="2020-05-31T00:00:00"/>
    <m/>
    <m/>
    <x v="2"/>
    <x v="0"/>
    <m/>
    <s v="Change of use of property from B1a (office use) to C3 (residential) to provide 1 no. 4 bedroom dwellinghouse"/>
    <s v="108 Sherland Road Twickenham "/>
    <s v="TW1 4HD"/>
    <m/>
    <m/>
    <m/>
    <m/>
    <m/>
    <m/>
    <m/>
    <m/>
    <n v="0"/>
    <m/>
    <m/>
    <m/>
    <m/>
    <n v="1"/>
    <m/>
    <m/>
    <m/>
    <m/>
    <n v="1"/>
    <n v="0"/>
    <n v="0"/>
    <n v="0"/>
    <n v="1"/>
    <n v="0"/>
    <n v="0"/>
    <n v="0"/>
    <n v="0"/>
    <n v="1"/>
    <x v="0"/>
    <n v="0"/>
    <n v="0.33333333333333331"/>
    <n v="0.33333333333333331"/>
    <n v="0.33333333333333331"/>
    <n v="0"/>
    <n v="0"/>
    <m/>
    <m/>
    <m/>
    <m/>
    <m/>
    <n v="1"/>
    <n v="516024"/>
    <n v="173277"/>
    <s v="Twickenham Riverside"/>
  </r>
  <r>
    <s v="17/1390/FUL"/>
    <x v="0"/>
    <x v="0"/>
    <d v="2018-11-15T00:00:00"/>
    <d v="2022-05-14T00:00:00"/>
    <m/>
    <m/>
    <x v="2"/>
    <x v="0"/>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x v="0"/>
    <n v="0"/>
    <n v="0"/>
    <n v="0.25"/>
    <n v="0.25"/>
    <n v="0.25"/>
    <n v="0.25"/>
    <m/>
    <m/>
    <m/>
    <m/>
    <m/>
    <n v="1"/>
    <n v="516598"/>
    <n v="174330"/>
    <s v="St. Margarets and North Twickenham"/>
  </r>
  <r>
    <s v="17/1550/FUL"/>
    <x v="0"/>
    <x v="0"/>
    <d v="2018-07-09T00:00:00"/>
    <d v="2021-07-09T00:00:00"/>
    <m/>
    <m/>
    <x v="2"/>
    <x v="0"/>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x v="0"/>
    <n v="0"/>
    <n v="0"/>
    <n v="2"/>
    <n v="2"/>
    <n v="2"/>
    <n v="2"/>
    <m/>
    <m/>
    <m/>
    <m/>
    <m/>
    <n v="8"/>
    <n v="517393"/>
    <n v="169491"/>
    <s v="Hampton Wick"/>
  </r>
  <r>
    <s v="17/1782/FUL"/>
    <x v="0"/>
    <x v="0"/>
    <d v="2019-01-14T00:00:00"/>
    <d v="2022-01-14T00:00:00"/>
    <m/>
    <m/>
    <x v="2"/>
    <x v="0"/>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x v="0"/>
    <n v="0"/>
    <n v="0"/>
    <n v="0"/>
    <n v="0"/>
    <n v="0"/>
    <n v="0"/>
    <m/>
    <m/>
    <m/>
    <m/>
    <m/>
    <n v="0"/>
    <n v="516874"/>
    <n v="170756"/>
    <s v="Hampton Wick"/>
  </r>
  <r>
    <s v="17/2314/FUL"/>
    <x v="0"/>
    <x v="0"/>
    <d v="2018-04-26T00:00:00"/>
    <d v="2021-04-26T00:00:00"/>
    <m/>
    <m/>
    <x v="2"/>
    <x v="0"/>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x v="0"/>
    <n v="0"/>
    <n v="0"/>
    <n v="0"/>
    <n v="0"/>
    <n v="0"/>
    <n v="0"/>
    <m/>
    <m/>
    <m/>
    <m/>
    <m/>
    <n v="0"/>
    <n v="512725"/>
    <n v="170606"/>
    <s v="Hampton North"/>
  </r>
  <r>
    <s v="17/2532/GPD15"/>
    <x v="1"/>
    <x v="1"/>
    <d v="2017-08-09T00:00:00"/>
    <d v="2020-08-09T00:00:00"/>
    <d v="2020-06-01T00:00:00"/>
    <m/>
    <x v="2"/>
    <x v="0"/>
    <m/>
    <s v="Prior approval for the change of use from office B1(a) to residential (C3) in the form of 5 no. units."/>
    <s v="The Coach House 273A Sandycombe Road Richmond TW9 3LU"/>
    <s v="TW9 3LU"/>
    <m/>
    <m/>
    <m/>
    <m/>
    <m/>
    <m/>
    <m/>
    <m/>
    <n v="0"/>
    <m/>
    <n v="5"/>
    <m/>
    <m/>
    <m/>
    <m/>
    <m/>
    <m/>
    <m/>
    <n v="5"/>
    <n v="5"/>
    <n v="0"/>
    <n v="0"/>
    <n v="0"/>
    <n v="0"/>
    <n v="0"/>
    <n v="0"/>
    <n v="0"/>
    <n v="5"/>
    <x v="0"/>
    <n v="0"/>
    <n v="5"/>
    <n v="0"/>
    <n v="0"/>
    <n v="0"/>
    <n v="0"/>
    <m/>
    <m/>
    <m/>
    <m/>
    <m/>
    <n v="5"/>
    <n v="519113"/>
    <n v="176411"/>
    <s v="Kew"/>
  </r>
  <r>
    <s v="17/2586/FUL"/>
    <x v="2"/>
    <x v="0"/>
    <d v="2017-09-27T00:00:00"/>
    <d v="2020-09-27T00:00:00"/>
    <m/>
    <m/>
    <x v="2"/>
    <x v="0"/>
    <m/>
    <s v="Change of use from 2 no. flats back to a single family dwelling house."/>
    <s v="First Floor Flat_x000d_18 Percival Road_x000d_East Sheen_x000d_London_x000d_SW14 7QE_x000d_"/>
    <s v="SW14 7QE"/>
    <n v="2"/>
    <m/>
    <m/>
    <m/>
    <m/>
    <m/>
    <m/>
    <m/>
    <n v="2"/>
    <m/>
    <m/>
    <m/>
    <n v="1"/>
    <m/>
    <m/>
    <m/>
    <m/>
    <m/>
    <n v="1"/>
    <n v="-2"/>
    <n v="0"/>
    <n v="1"/>
    <n v="0"/>
    <n v="0"/>
    <n v="0"/>
    <n v="0"/>
    <n v="0"/>
    <n v="-1"/>
    <x v="0"/>
    <n v="0"/>
    <n v="0"/>
    <n v="-0.25"/>
    <n v="-0.25"/>
    <n v="-0.25"/>
    <n v="-0.25"/>
    <m/>
    <m/>
    <m/>
    <m/>
    <m/>
    <n v="-1"/>
    <n v="520088"/>
    <n v="175029"/>
    <s v="East Sheen"/>
  </r>
  <r>
    <s v="17/2597/GPD15"/>
    <x v="1"/>
    <x v="1"/>
    <d v="2017-08-30T00:00:00"/>
    <d v="2020-08-30T00:00:00"/>
    <m/>
    <m/>
    <x v="2"/>
    <x v="0"/>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x v="0"/>
    <n v="0"/>
    <n v="0"/>
    <n v="0.75"/>
    <n v="0.75"/>
    <n v="0.75"/>
    <n v="0.75"/>
    <m/>
    <m/>
    <m/>
    <m/>
    <m/>
    <n v="3"/>
    <n v="520541"/>
    <n v="175760"/>
    <s v="East Sheen"/>
  </r>
  <r>
    <s v="17/2680/FUL"/>
    <x v="0"/>
    <x v="0"/>
    <d v="2017-12-11T00:00:00"/>
    <d v="2021-03-14T00:00:00"/>
    <d v="2020-06-01T00:00:00"/>
    <m/>
    <x v="2"/>
    <x v="0"/>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x v="0"/>
    <n v="0"/>
    <n v="1"/>
    <n v="1"/>
    <n v="0"/>
    <n v="0"/>
    <n v="0"/>
    <m/>
    <m/>
    <m/>
    <m/>
    <m/>
    <n v="2"/>
    <n v="514169"/>
    <n v="170167"/>
    <s v="Hampton"/>
  </r>
  <r>
    <s v="17/2693/GPD15"/>
    <x v="1"/>
    <x v="1"/>
    <d v="2017-09-08T00:00:00"/>
    <d v="2020-09-08T00:00:00"/>
    <m/>
    <m/>
    <x v="2"/>
    <x v="0"/>
    <m/>
    <s v="Change of use from Class B1(a) office to Class C3 residential."/>
    <s v="246 Upper Richmond Road West_x000d_East Sheen_x000d_London_x000d_SW14 8AG_x000d_"/>
    <s v="SW14 8AG"/>
    <m/>
    <m/>
    <m/>
    <m/>
    <m/>
    <m/>
    <m/>
    <m/>
    <n v="0"/>
    <m/>
    <n v="1"/>
    <m/>
    <m/>
    <m/>
    <m/>
    <m/>
    <m/>
    <m/>
    <n v="1"/>
    <n v="1"/>
    <n v="0"/>
    <n v="0"/>
    <n v="0"/>
    <n v="0"/>
    <n v="0"/>
    <n v="0"/>
    <n v="0"/>
    <n v="1"/>
    <x v="0"/>
    <n v="0"/>
    <n v="0"/>
    <n v="0.25"/>
    <n v="0.25"/>
    <n v="0.25"/>
    <n v="0.25"/>
    <m/>
    <m/>
    <m/>
    <m/>
    <m/>
    <n v="1"/>
    <n v="520531"/>
    <n v="175416"/>
    <s v="East Sheen"/>
  </r>
  <r>
    <s v="17/2872/FUL"/>
    <x v="0"/>
    <x v="0"/>
    <d v="2019-05-30T00:00:00"/>
    <d v="2022-05-20T00:00:00"/>
    <m/>
    <m/>
    <x v="2"/>
    <x v="0"/>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x v="0"/>
    <n v="0"/>
    <n v="0"/>
    <n v="0.25"/>
    <n v="0.25"/>
    <n v="0.25"/>
    <n v="0.25"/>
    <m/>
    <m/>
    <m/>
    <m/>
    <m/>
    <n v="1"/>
    <n v="513537"/>
    <n v="170046"/>
    <s v="Hampton"/>
  </r>
  <r>
    <s v="17/2957/FUL"/>
    <x v="2"/>
    <x v="0"/>
    <d v="2017-12-20T00:00:00"/>
    <d v="2020-12-20T00:00:00"/>
    <m/>
    <m/>
    <x v="2"/>
    <x v="0"/>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x v="0"/>
    <n v="0"/>
    <n v="0"/>
    <n v="0.75"/>
    <n v="0.75"/>
    <n v="0.75"/>
    <n v="0.75"/>
    <m/>
    <m/>
    <m/>
    <m/>
    <m/>
    <n v="3"/>
    <n v="514558"/>
    <n v="171264"/>
    <s v="Fulwell and Hampton Hill"/>
  </r>
  <r>
    <s v="17/3001/GPD16"/>
    <x v="1"/>
    <x v="1"/>
    <d v="2017-09-27T00:00:00"/>
    <d v="2021-06-07T00:00:00"/>
    <m/>
    <m/>
    <x v="2"/>
    <x v="0"/>
    <m/>
    <s v="Change of use from B8 (storage) to C3 (residential use) to create a 1 bedroom unit."/>
    <s v="Unit 3 Plough Lane Teddington_x000a__x000a_"/>
    <s v="TW11 9BN"/>
    <m/>
    <m/>
    <m/>
    <m/>
    <m/>
    <m/>
    <m/>
    <m/>
    <n v="0"/>
    <m/>
    <n v="1"/>
    <m/>
    <m/>
    <m/>
    <m/>
    <m/>
    <m/>
    <n v="0"/>
    <n v="1"/>
    <n v="1"/>
    <n v="0"/>
    <n v="0"/>
    <n v="0"/>
    <n v="0"/>
    <n v="0"/>
    <n v="0"/>
    <n v="0"/>
    <n v="1"/>
    <x v="0"/>
    <n v="0"/>
    <n v="0.5"/>
    <n v="0.5"/>
    <n v="0"/>
    <n v="0"/>
    <n v="0"/>
    <m/>
    <m/>
    <m/>
    <m/>
    <m/>
    <n v="1"/>
    <n v="516215"/>
    <n v="171077"/>
    <s v="Teddington"/>
  </r>
  <r>
    <s v="17/3003/GPD16"/>
    <x v="1"/>
    <x v="1"/>
    <d v="2017-09-27T00:00:00"/>
    <d v="2021-06-07T00:00:00"/>
    <m/>
    <m/>
    <x v="2"/>
    <x v="0"/>
    <m/>
    <s v="Change of use from B8 (storage) to C3 (residential) to create 2 Studio units."/>
    <s v="Unit 4 To 5A_x000d_Plough Lane_x000d_Teddington_x000d__x000d_"/>
    <s v="TW11 9BN"/>
    <m/>
    <m/>
    <m/>
    <m/>
    <m/>
    <m/>
    <m/>
    <m/>
    <n v="0"/>
    <m/>
    <n v="2"/>
    <m/>
    <m/>
    <m/>
    <m/>
    <m/>
    <m/>
    <n v="0"/>
    <n v="2"/>
    <n v="2"/>
    <n v="0"/>
    <n v="0"/>
    <n v="0"/>
    <n v="0"/>
    <n v="0"/>
    <n v="0"/>
    <n v="0"/>
    <n v="2"/>
    <x v="0"/>
    <n v="0"/>
    <n v="0.5"/>
    <n v="0.5"/>
    <n v="0"/>
    <n v="0"/>
    <n v="0"/>
    <m/>
    <m/>
    <m/>
    <m/>
    <m/>
    <n v="1"/>
    <n v="516224"/>
    <n v="171078"/>
    <s v="Teddington"/>
  </r>
  <r>
    <s v="17/3054/FUL"/>
    <x v="0"/>
    <x v="0"/>
    <d v="2018-10-30T00:00:00"/>
    <d v="2021-10-30T00:00:00"/>
    <m/>
    <m/>
    <x v="2"/>
    <x v="0"/>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x v="0"/>
    <n v="0"/>
    <n v="0"/>
    <n v="0.5"/>
    <n v="0.5"/>
    <n v="0.5"/>
    <n v="0.5"/>
    <m/>
    <m/>
    <m/>
    <m/>
    <m/>
    <n v="2"/>
    <n v="516182"/>
    <n v="173653"/>
    <s v="Twickenham Riverside"/>
  </r>
  <r>
    <s v="17/3077/FUL"/>
    <x v="0"/>
    <x v="0"/>
    <d v="2018-03-15T00:00:00"/>
    <d v="2021-03-15T00:00:00"/>
    <d v="2020-05-04T00:00:00"/>
    <m/>
    <x v="2"/>
    <x v="0"/>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x v="0"/>
    <n v="0"/>
    <n v="1"/>
    <n v="0"/>
    <n v="0"/>
    <n v="0"/>
    <n v="0"/>
    <m/>
    <m/>
    <m/>
    <m/>
    <m/>
    <n v="1"/>
    <n v="516426"/>
    <n v="173349"/>
    <s v="Twickenham Riverside"/>
  </r>
  <r>
    <s v="17/3265/FUL"/>
    <x v="0"/>
    <x v="0"/>
    <d v="2018-01-15T00:00:00"/>
    <d v="2021-01-15T00:00:00"/>
    <m/>
    <m/>
    <x v="2"/>
    <x v="0"/>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x v="0"/>
    <n v="0"/>
    <n v="0"/>
    <n v="0"/>
    <n v="0"/>
    <n v="0"/>
    <n v="0"/>
    <m/>
    <m/>
    <m/>
    <m/>
    <m/>
    <n v="0"/>
    <n v="522475"/>
    <n v="177141"/>
    <s v="Barnes"/>
  </r>
  <r>
    <s v="17/3402/GPD16"/>
    <x v="1"/>
    <x v="1"/>
    <d v="2017-11-03T00:00:00"/>
    <d v="2020-11-03T00:00:00"/>
    <m/>
    <m/>
    <x v="2"/>
    <x v="0"/>
    <m/>
    <s v="Change of use from B8 (Storage) to C3 (Residential) to create 1 no. studio flat."/>
    <s v="Unit 1_x000d_Plough Lane_x000d_Teddington_x000d__x000d_"/>
    <s v="TW11"/>
    <m/>
    <m/>
    <m/>
    <m/>
    <m/>
    <m/>
    <m/>
    <m/>
    <n v="0"/>
    <m/>
    <n v="1"/>
    <m/>
    <m/>
    <m/>
    <m/>
    <m/>
    <m/>
    <m/>
    <n v="1"/>
    <n v="1"/>
    <n v="0"/>
    <n v="0"/>
    <n v="0"/>
    <n v="0"/>
    <n v="0"/>
    <n v="0"/>
    <n v="0"/>
    <n v="1"/>
    <x v="0"/>
    <n v="0"/>
    <n v="0"/>
    <n v="0.25"/>
    <n v="0.25"/>
    <n v="0.25"/>
    <n v="0.25"/>
    <m/>
    <m/>
    <m/>
    <m/>
    <m/>
    <n v="1"/>
    <n v="516208"/>
    <n v="171077"/>
    <s v="Teddington"/>
  </r>
  <r>
    <s v="17/3404/FUL"/>
    <x v="1"/>
    <x v="0"/>
    <d v="2018-02-01T00:00:00"/>
    <d v="2021-02-02T00:00:00"/>
    <m/>
    <m/>
    <x v="2"/>
    <x v="0"/>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x v="0"/>
    <n v="0"/>
    <n v="0"/>
    <n v="-0.25"/>
    <n v="-0.25"/>
    <n v="-0.25"/>
    <n v="-0.25"/>
    <m/>
    <m/>
    <m/>
    <m/>
    <m/>
    <n v="-1"/>
    <n v="515091"/>
    <n v="171518"/>
    <s v="Fulwell and Hampton Hill"/>
  </r>
  <r>
    <s v="17/3590/FUL"/>
    <x v="0"/>
    <x v="0"/>
    <d v="2018-07-26T00:00:00"/>
    <d v="2021-07-26T00:00:00"/>
    <m/>
    <m/>
    <x v="2"/>
    <x v="0"/>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x v="0"/>
    <n v="0"/>
    <n v="0"/>
    <n v="0.5"/>
    <n v="0.5"/>
    <n v="0.5"/>
    <n v="0.5"/>
    <m/>
    <m/>
    <m/>
    <m/>
    <m/>
    <n v="2"/>
    <n v="514975"/>
    <n v="171285"/>
    <s v="Fulwell and Hampton Hill"/>
  </r>
  <r>
    <s v="17/3610/FUL"/>
    <x v="3"/>
    <x v="0"/>
    <d v="2018-03-23T00:00:00"/>
    <d v="2021-03-23T00:00:00"/>
    <m/>
    <m/>
    <x v="2"/>
    <x v="0"/>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x v="0"/>
    <n v="0"/>
    <n v="1.3333333333333333"/>
    <n v="1.3333333333333333"/>
    <n v="1.3333333333333333"/>
    <n v="0"/>
    <n v="0"/>
    <m/>
    <m/>
    <m/>
    <m/>
    <m/>
    <n v="4"/>
    <n v="521762"/>
    <n v="176415"/>
    <s v="Barnes"/>
  </r>
  <r>
    <s v="17/3696/GPD16"/>
    <x v="1"/>
    <x v="1"/>
    <d v="2017-12-22T00:00:00"/>
    <d v="2020-12-22T00:00:00"/>
    <m/>
    <m/>
    <x v="2"/>
    <x v="0"/>
    <m/>
    <s v="Change of use of premises from B8 (warehouse/distrubtion) to C3 (residential - 6 x 1 bed flats)"/>
    <s v="1A St Leonards Road_x000d_East Sheen_x000d_London_x000d_SW14 7LY_x000d_"/>
    <s v="SW14 7LY"/>
    <m/>
    <m/>
    <m/>
    <m/>
    <m/>
    <m/>
    <m/>
    <m/>
    <n v="0"/>
    <m/>
    <n v="6"/>
    <m/>
    <m/>
    <m/>
    <m/>
    <m/>
    <m/>
    <m/>
    <n v="6"/>
    <n v="6"/>
    <n v="0"/>
    <n v="0"/>
    <n v="0"/>
    <n v="0"/>
    <n v="0"/>
    <n v="0"/>
    <n v="0"/>
    <n v="6"/>
    <x v="0"/>
    <n v="0"/>
    <n v="0"/>
    <n v="1.5"/>
    <n v="1.5"/>
    <n v="1.5"/>
    <n v="1.5"/>
    <m/>
    <m/>
    <m/>
    <m/>
    <m/>
    <n v="6"/>
    <n v="520442"/>
    <n v="175588"/>
    <s v="East Sheen"/>
  </r>
  <r>
    <s v="17/3795/GPD15"/>
    <x v="1"/>
    <x v="1"/>
    <d v="2017-12-11T00:00:00"/>
    <d v="2020-12-11T00:00:00"/>
    <m/>
    <m/>
    <x v="2"/>
    <x v="0"/>
    <m/>
    <s v="Change of use from Offices (B1) to Residential (C3)."/>
    <s v="25 Church Road_x000d_Teddington_x000d_TW11 8PF_x000d_"/>
    <s v="TW11 8PF"/>
    <m/>
    <m/>
    <m/>
    <m/>
    <m/>
    <m/>
    <m/>
    <m/>
    <n v="0"/>
    <m/>
    <m/>
    <n v="1"/>
    <n v="1"/>
    <m/>
    <m/>
    <m/>
    <m/>
    <m/>
    <n v="2"/>
    <n v="0"/>
    <n v="1"/>
    <n v="1"/>
    <n v="0"/>
    <n v="0"/>
    <n v="0"/>
    <n v="0"/>
    <n v="0"/>
    <n v="2"/>
    <x v="0"/>
    <n v="0"/>
    <n v="0"/>
    <n v="0.5"/>
    <n v="0.5"/>
    <n v="0.5"/>
    <n v="0.5"/>
    <m/>
    <m/>
    <m/>
    <m/>
    <m/>
    <n v="2"/>
    <n v="515664"/>
    <n v="171121"/>
    <s v="Teddington"/>
  </r>
  <r>
    <s v="17/4005/FUL"/>
    <x v="3"/>
    <x v="0"/>
    <d v="2020-03-05T00:00:00"/>
    <d v="2023-03-05T00:00:00"/>
    <m/>
    <m/>
    <x v="2"/>
    <x v="0"/>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x v="0"/>
    <n v="0"/>
    <n v="0"/>
    <n v="0.25"/>
    <n v="0.25"/>
    <n v="0.25"/>
    <n v="0.25"/>
    <m/>
    <m/>
    <m/>
    <m/>
    <m/>
    <n v="1"/>
    <n v="518109"/>
    <n v="175300"/>
    <s v="South Richmond"/>
  </r>
  <r>
    <s v="17/4014/FUL"/>
    <x v="1"/>
    <x v="0"/>
    <d v="2018-11-30T00:00:00"/>
    <d v="2022-03-19T00:00:00"/>
    <m/>
    <m/>
    <x v="2"/>
    <x v="0"/>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x v="0"/>
    <n v="0"/>
    <n v="0"/>
    <n v="0.5"/>
    <n v="0.5"/>
    <n v="0.5"/>
    <n v="0.5"/>
    <m/>
    <m/>
    <m/>
    <m/>
    <m/>
    <n v="2"/>
    <n v="515746"/>
    <n v="173156"/>
    <s v="South Twickenham"/>
  </r>
  <r>
    <s v="17/4015/FUL"/>
    <x v="0"/>
    <x v="0"/>
    <d v="2018-10-03T00:00:00"/>
    <d v="2021-10-03T00:00:00"/>
    <m/>
    <m/>
    <x v="2"/>
    <x v="0"/>
    <m/>
    <s v="Erection of 2no. dwellings with associated cycle parking and refuse storage."/>
    <s v="Land To Rear Of 34 - 40 The Quadrant Richmond_x000a__x000a_"/>
    <s v="TW9 1DN"/>
    <m/>
    <m/>
    <m/>
    <m/>
    <m/>
    <m/>
    <m/>
    <m/>
    <n v="0"/>
    <m/>
    <m/>
    <n v="2"/>
    <m/>
    <m/>
    <m/>
    <m/>
    <m/>
    <m/>
    <n v="2"/>
    <n v="0"/>
    <n v="2"/>
    <n v="0"/>
    <n v="0"/>
    <n v="0"/>
    <n v="0"/>
    <n v="0"/>
    <n v="0"/>
    <n v="2"/>
    <x v="0"/>
    <n v="0"/>
    <n v="0"/>
    <n v="0.5"/>
    <n v="0.5"/>
    <n v="0.5"/>
    <n v="0.5"/>
    <m/>
    <m/>
    <m/>
    <m/>
    <m/>
    <n v="2"/>
    <n v="518028"/>
    <n v="175050"/>
    <s v="South Richmond"/>
  </r>
  <r>
    <s v="17/4114/PS192"/>
    <x v="1"/>
    <x v="1"/>
    <d v="2017-12-28T00:00:00"/>
    <d v="2020-12-28T00:00:00"/>
    <m/>
    <m/>
    <x v="2"/>
    <x v="0"/>
    <m/>
    <s v="Change of use from Class C4 (House in Multiple Occupation) to C3 (residential) to provide 1 x 3 bed flat"/>
    <s v="35A Broad Street_x000d_Teddington_x000d_TW11 8QZ_x000d_"/>
    <s v="TW11 8QZ"/>
    <m/>
    <m/>
    <n v="1"/>
    <m/>
    <m/>
    <m/>
    <m/>
    <m/>
    <n v="1"/>
    <m/>
    <m/>
    <m/>
    <n v="1"/>
    <m/>
    <m/>
    <m/>
    <m/>
    <m/>
    <n v="1"/>
    <n v="0"/>
    <n v="0"/>
    <n v="0"/>
    <n v="0"/>
    <n v="0"/>
    <n v="0"/>
    <n v="0"/>
    <n v="0"/>
    <n v="0"/>
    <x v="0"/>
    <n v="0"/>
    <n v="0"/>
    <n v="0"/>
    <n v="0"/>
    <n v="0"/>
    <n v="0"/>
    <m/>
    <m/>
    <m/>
    <m/>
    <m/>
    <n v="0"/>
    <n v="515625"/>
    <n v="170998"/>
    <s v="Teddington"/>
  </r>
  <r>
    <s v="17/4122/FUL"/>
    <x v="0"/>
    <x v="0"/>
    <d v="2018-12-21T00:00:00"/>
    <d v="2021-12-21T00:00:00"/>
    <m/>
    <m/>
    <x v="2"/>
    <x v="0"/>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x v="0"/>
    <n v="0"/>
    <n v="0"/>
    <n v="0.25"/>
    <n v="0.25"/>
    <n v="0.25"/>
    <n v="0.25"/>
    <m/>
    <m/>
    <m/>
    <m/>
    <m/>
    <n v="1"/>
    <n v="521350"/>
    <n v="176123"/>
    <s v="Mortlake and Barnes Common"/>
  </r>
  <r>
    <s v="17/4292/FUL"/>
    <x v="4"/>
    <x v="0"/>
    <d v="2018-01-25T00:00:00"/>
    <d v="2021-01-25T00:00:00"/>
    <m/>
    <m/>
    <x v="2"/>
    <x v="0"/>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x v="0"/>
    <n v="0"/>
    <n v="0"/>
    <n v="0.75"/>
    <n v="0.75"/>
    <n v="0.75"/>
    <n v="0.75"/>
    <m/>
    <m/>
    <m/>
    <m/>
    <m/>
    <n v="3"/>
    <n v="518831"/>
    <n v="175436"/>
    <s v="North Richmond"/>
  </r>
  <r>
    <s v="17/4344/FUL"/>
    <x v="1"/>
    <x v="0"/>
    <d v="2018-03-09T00:00:00"/>
    <d v="2021-03-09T00:00:00"/>
    <m/>
    <m/>
    <x v="2"/>
    <x v="0"/>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x v="0"/>
    <n v="0"/>
    <n v="0"/>
    <n v="0.25"/>
    <n v="0.25"/>
    <n v="0.25"/>
    <n v="0.25"/>
    <m/>
    <m/>
    <m/>
    <m/>
    <m/>
    <n v="1"/>
    <n v="517967"/>
    <n v="174947"/>
    <s v="South Richmond"/>
  </r>
  <r>
    <s v="17/4422/GPD15"/>
    <x v="1"/>
    <x v="1"/>
    <d v="2018-02-05T00:00:00"/>
    <d v="2021-02-05T00:00:00"/>
    <m/>
    <m/>
    <x v="2"/>
    <x v="0"/>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x v="0"/>
    <n v="0"/>
    <n v="0"/>
    <n v="0.25"/>
    <n v="0.25"/>
    <n v="0.25"/>
    <n v="0.25"/>
    <m/>
    <m/>
    <m/>
    <m/>
    <m/>
    <n v="1"/>
    <n v="515664"/>
    <n v="171121"/>
    <s v="Teddington"/>
  </r>
  <r>
    <s v="17/4453/FUL"/>
    <x v="3"/>
    <x v="0"/>
    <d v="2018-05-10T00:00:00"/>
    <d v="2021-05-10T00:00:00"/>
    <m/>
    <m/>
    <x v="2"/>
    <x v="0"/>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x v="0"/>
    <n v="0"/>
    <n v="0"/>
    <n v="0.25"/>
    <n v="0.25"/>
    <n v="0.25"/>
    <n v="0.25"/>
    <m/>
    <m/>
    <m/>
    <m/>
    <m/>
    <n v="1"/>
    <n v="518955"/>
    <n v="177124"/>
    <s v="Kew"/>
  </r>
  <r>
    <s v="17/4477/FUL"/>
    <x v="2"/>
    <x v="0"/>
    <d v="2019-05-23T00:00:00"/>
    <d v="2022-05-23T00:00:00"/>
    <m/>
    <m/>
    <x v="2"/>
    <x v="0"/>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x v="0"/>
    <n v="0"/>
    <n v="0"/>
    <n v="-0.25"/>
    <n v="-0.25"/>
    <n v="-0.25"/>
    <n v="-0.25"/>
    <m/>
    <m/>
    <m/>
    <m/>
    <m/>
    <n v="-1"/>
    <n v="518418"/>
    <n v="174325"/>
    <s v="South Richmond"/>
  </r>
  <r>
    <s v="18/0268/FUL"/>
    <x v="0"/>
    <x v="0"/>
    <d v="2018-05-31T00:00:00"/>
    <d v="2021-05-31T00:00:00"/>
    <m/>
    <m/>
    <x v="2"/>
    <x v="0"/>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x v="0"/>
    <n v="0"/>
    <n v="0"/>
    <n v="0"/>
    <n v="0"/>
    <n v="0"/>
    <n v="0"/>
    <m/>
    <m/>
    <m/>
    <m/>
    <m/>
    <n v="0"/>
    <n v="514952"/>
    <n v="171606"/>
    <s v="Fulwell and Hampton Hill"/>
  </r>
  <r>
    <s v="18/0301/FUL"/>
    <x v="0"/>
    <x v="0"/>
    <d v="2018-12-18T00:00:00"/>
    <d v="2021-12-18T00:00:00"/>
    <m/>
    <m/>
    <x v="2"/>
    <x v="0"/>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x v="0"/>
    <n v="0"/>
    <n v="0"/>
    <n v="0"/>
    <n v="0"/>
    <n v="0"/>
    <n v="0"/>
    <m/>
    <m/>
    <m/>
    <m/>
    <m/>
    <n v="0"/>
    <n v="518177"/>
    <n v="173103"/>
    <s v="Ham, Petersham and Richmond Riverside"/>
  </r>
  <r>
    <s v="18/0315/FUL"/>
    <x v="0"/>
    <x v="0"/>
    <d v="2019-06-20T00:00:00"/>
    <d v="2022-06-20T00:00:00"/>
    <m/>
    <m/>
    <x v="2"/>
    <x v="0"/>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x v="0"/>
    <n v="0"/>
    <n v="0"/>
    <n v="1"/>
    <n v="1"/>
    <n v="1"/>
    <n v="1"/>
    <m/>
    <m/>
    <m/>
    <m/>
    <m/>
    <n v="4"/>
    <n v="512966"/>
    <n v="170724"/>
    <s v="Hampton North"/>
  </r>
  <r>
    <s v="18/0584/GPD15"/>
    <x v="1"/>
    <x v="1"/>
    <d v="2018-04-17T00:00:00"/>
    <d v="2021-05-17T00:00:00"/>
    <m/>
    <m/>
    <x v="2"/>
    <x v="0"/>
    <m/>
    <s v="Change of use from B1c to C3 (Residential) to provide 2 x 2B4P flats."/>
    <s v="1 High Street_x000d_Hampton Hill_x000d__x000d_"/>
    <s v="TW12 1NA"/>
    <m/>
    <m/>
    <m/>
    <m/>
    <m/>
    <m/>
    <m/>
    <m/>
    <n v="0"/>
    <m/>
    <m/>
    <n v="2"/>
    <m/>
    <m/>
    <m/>
    <m/>
    <m/>
    <m/>
    <n v="2"/>
    <n v="0"/>
    <n v="2"/>
    <n v="0"/>
    <n v="0"/>
    <n v="0"/>
    <n v="0"/>
    <n v="0"/>
    <n v="0"/>
    <n v="2"/>
    <x v="0"/>
    <n v="0"/>
    <n v="0"/>
    <n v="0.5"/>
    <n v="0.5"/>
    <n v="0.5"/>
    <n v="0.5"/>
    <m/>
    <m/>
    <m/>
    <m/>
    <m/>
    <n v="2"/>
    <n v="514188"/>
    <n v="170550"/>
    <s v="Fulwell and Hampton Hill"/>
  </r>
  <r>
    <s v="18/0723/FUL"/>
    <x v="0"/>
    <x v="0"/>
    <d v="2018-10-04T00:00:00"/>
    <d v="2021-10-04T00:00:00"/>
    <d v="2020-06-23T00:00:00"/>
    <m/>
    <x v="2"/>
    <x v="0"/>
    <m/>
    <s v="Demolition of existing dwelling and the erection of a replacement two storey, 4 bedroom dwelling"/>
    <s v="3 Queens Rise_x000d_Richmond_x000d_TW10 6HL"/>
    <s v="TW10 6HL"/>
    <m/>
    <m/>
    <m/>
    <n v="1"/>
    <m/>
    <m/>
    <m/>
    <m/>
    <n v="1"/>
    <m/>
    <m/>
    <m/>
    <m/>
    <n v="1"/>
    <m/>
    <m/>
    <m/>
    <m/>
    <n v="1"/>
    <n v="0"/>
    <n v="0"/>
    <n v="0"/>
    <n v="0"/>
    <n v="0"/>
    <n v="0"/>
    <n v="0"/>
    <n v="0"/>
    <n v="0"/>
    <x v="0"/>
    <n v="0"/>
    <n v="0"/>
    <n v="0"/>
    <n v="0"/>
    <n v="0"/>
    <n v="0"/>
    <m/>
    <m/>
    <m/>
    <m/>
    <m/>
    <n v="0"/>
    <n v="518695"/>
    <n v="174476"/>
    <s v="South Richmond"/>
  </r>
  <r>
    <s v="18/0866/FUL"/>
    <x v="4"/>
    <x v="0"/>
    <d v="2018-11-05T00:00:00"/>
    <d v="2021-11-06T00:00:00"/>
    <m/>
    <m/>
    <x v="2"/>
    <x v="0"/>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x v="0"/>
    <n v="0"/>
    <n v="0"/>
    <n v="1"/>
    <n v="1"/>
    <n v="1"/>
    <n v="1"/>
    <m/>
    <m/>
    <m/>
    <m/>
    <m/>
    <n v="4"/>
    <n v="519849"/>
    <n v="175357"/>
    <s v="North Richmond"/>
  </r>
  <r>
    <s v="18/1022/FUL"/>
    <x v="2"/>
    <x v="0"/>
    <d v="2018-11-27T00:00:00"/>
    <d v="2021-11-27T00:00:00"/>
    <m/>
    <m/>
    <x v="2"/>
    <x v="0"/>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x v="0"/>
    <n v="0"/>
    <n v="0"/>
    <n v="-0.25"/>
    <n v="-0.25"/>
    <n v="-0.25"/>
    <n v="-0.25"/>
    <m/>
    <m/>
    <m/>
    <m/>
    <m/>
    <n v="-1"/>
    <n v="515922"/>
    <n v="171125"/>
    <s v="Teddington"/>
  </r>
  <r>
    <s v="18/1038/FUL"/>
    <x v="0"/>
    <x v="0"/>
    <d v="2019-02-04T00:00:00"/>
    <d v="2022-02-04T00:00:00"/>
    <m/>
    <m/>
    <x v="2"/>
    <x v="0"/>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x v="0"/>
    <n v="0"/>
    <n v="0"/>
    <n v="0.75"/>
    <n v="0.75"/>
    <n v="0.75"/>
    <n v="0.75"/>
    <m/>
    <m/>
    <m/>
    <m/>
    <m/>
    <n v="3"/>
    <n v="520397"/>
    <n v="175552"/>
    <s v="East Sheen"/>
  </r>
  <r>
    <s v="18/1064/GPD15"/>
    <x v="1"/>
    <x v="1"/>
    <d v="2018-05-22T00:00:00"/>
    <d v="2021-05-22T00:00:00"/>
    <m/>
    <m/>
    <x v="2"/>
    <x v="0"/>
    <m/>
    <s v="Change of use from offices (B1) to residential (C3)"/>
    <s v="21A St Leonards Road_x000d_East Sheen_x000d_London_x000d_SW14 7LY_x000d_"/>
    <s v="SW14 7LY"/>
    <m/>
    <m/>
    <m/>
    <m/>
    <m/>
    <m/>
    <m/>
    <m/>
    <n v="0"/>
    <m/>
    <m/>
    <m/>
    <n v="5"/>
    <m/>
    <m/>
    <m/>
    <m/>
    <m/>
    <n v="5"/>
    <n v="0"/>
    <n v="0"/>
    <n v="5"/>
    <n v="0"/>
    <n v="0"/>
    <n v="0"/>
    <n v="0"/>
    <n v="0"/>
    <n v="5"/>
    <x v="0"/>
    <n v="0"/>
    <n v="0"/>
    <n v="1.25"/>
    <n v="1.25"/>
    <n v="1.25"/>
    <n v="1.25"/>
    <m/>
    <m/>
    <m/>
    <m/>
    <m/>
    <n v="5"/>
    <n v="520397"/>
    <n v="175552"/>
    <s v="East Sheen"/>
  </r>
  <r>
    <s v="18/1114/FUL"/>
    <x v="3"/>
    <x v="0"/>
    <d v="2019-07-25T00:00:00"/>
    <d v="2022-07-25T00:00:00"/>
    <m/>
    <m/>
    <x v="2"/>
    <x v="0"/>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x v="0"/>
    <n v="0"/>
    <n v="0"/>
    <n v="0.25"/>
    <n v="0.25"/>
    <n v="0.25"/>
    <n v="0.25"/>
    <m/>
    <m/>
    <m/>
    <m/>
    <m/>
    <n v="1"/>
    <n v="514448"/>
    <n v="171212"/>
    <s v="Fulwell and Hampton Hill"/>
  </r>
  <r>
    <s v="18/1248/FUL"/>
    <x v="1"/>
    <x v="0"/>
    <d v="2018-12-21T00:00:00"/>
    <d v="2021-12-21T00:00:00"/>
    <m/>
    <m/>
    <x v="2"/>
    <x v="0"/>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x v="0"/>
    <n v="0"/>
    <n v="0"/>
    <n v="0.25"/>
    <n v="0.25"/>
    <n v="0.25"/>
    <n v="0.25"/>
    <m/>
    <m/>
    <m/>
    <m/>
    <m/>
    <n v="1"/>
    <n v="518862"/>
    <n v="175562"/>
    <s v="North Richmond"/>
  </r>
  <r>
    <s v="18/1442/FUL"/>
    <x v="0"/>
    <x v="0"/>
    <d v="2019-01-07T00:00:00"/>
    <d v="2022-01-07T00:00:00"/>
    <m/>
    <m/>
    <x v="2"/>
    <x v="0"/>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x v="0"/>
    <n v="0"/>
    <n v="0"/>
    <n v="0.25"/>
    <n v="0.25"/>
    <n v="0.25"/>
    <n v="0.25"/>
    <m/>
    <m/>
    <m/>
    <m/>
    <m/>
    <n v="1"/>
    <n v="514703"/>
    <n v="172701"/>
    <s v="West Twickenham"/>
  </r>
  <r>
    <s v="18/1446/FUL"/>
    <x v="0"/>
    <x v="0"/>
    <d v="2018-08-10T00:00:00"/>
    <d v="2021-08-10T00:00:00"/>
    <m/>
    <m/>
    <x v="2"/>
    <x v="0"/>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x v="0"/>
    <n v="0"/>
    <n v="0"/>
    <n v="0"/>
    <n v="0"/>
    <n v="0"/>
    <n v="0"/>
    <m/>
    <m/>
    <m/>
    <m/>
    <m/>
    <n v="0"/>
    <n v="515299"/>
    <n v="173105"/>
    <s v="South Twickenham"/>
  </r>
  <r>
    <s v="18/1743/FUL"/>
    <x v="0"/>
    <x v="0"/>
    <d v="2018-10-12T00:00:00"/>
    <d v="2021-12-20T00:00:00"/>
    <m/>
    <m/>
    <x v="2"/>
    <x v="0"/>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x v="0"/>
    <n v="0"/>
    <n v="0"/>
    <n v="1"/>
    <n v="0"/>
    <n v="0"/>
    <n v="0"/>
    <m/>
    <m/>
    <m/>
    <m/>
    <m/>
    <n v="1"/>
    <n v="517388"/>
    <n v="170706"/>
    <s v="Hampton Wick"/>
  </r>
  <r>
    <s v="18/1911/FUL"/>
    <x v="4"/>
    <x v="0"/>
    <d v="2018-12-11T00:00:00"/>
    <d v="2021-12-11T00:00:00"/>
    <m/>
    <m/>
    <x v="2"/>
    <x v="0"/>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x v="0"/>
    <n v="0"/>
    <n v="0"/>
    <n v="0.25"/>
    <n v="0.25"/>
    <n v="0.25"/>
    <n v="0.25"/>
    <m/>
    <m/>
    <m/>
    <m/>
    <m/>
    <n v="1"/>
    <n v="515913"/>
    <n v="173384"/>
    <s v="Twickenham Riverside"/>
  </r>
  <r>
    <s v="18/2038/FUL"/>
    <x v="0"/>
    <x v="0"/>
    <d v="2019-02-12T00:00:00"/>
    <d v="2022-02-12T00:00:00"/>
    <m/>
    <m/>
    <x v="2"/>
    <x v="0"/>
    <m/>
    <s v="Demolition of existing building and construction of new building with basement."/>
    <s v="33 Parke Road_x000d_Barnes_x000d_London_x000d_SW13 9NJ"/>
    <s v="SW13 9NJ"/>
    <m/>
    <m/>
    <m/>
    <m/>
    <m/>
    <n v="1"/>
    <m/>
    <m/>
    <n v="1"/>
    <m/>
    <m/>
    <m/>
    <m/>
    <m/>
    <n v="1"/>
    <m/>
    <m/>
    <m/>
    <n v="1"/>
    <n v="0"/>
    <n v="0"/>
    <n v="0"/>
    <n v="0"/>
    <n v="1"/>
    <n v="-1"/>
    <n v="0"/>
    <n v="0"/>
    <n v="0"/>
    <x v="0"/>
    <n v="0"/>
    <n v="0"/>
    <n v="0"/>
    <n v="0"/>
    <n v="0"/>
    <n v="0"/>
    <m/>
    <m/>
    <m/>
    <m/>
    <m/>
    <n v="0"/>
    <n v="522063"/>
    <n v="177165"/>
    <s v="Barnes"/>
  </r>
  <r>
    <s v="18/2328/GPD15"/>
    <x v="1"/>
    <x v="1"/>
    <d v="2018-09-14T00:00:00"/>
    <d v="2021-09-14T00:00:00"/>
    <m/>
    <m/>
    <x v="2"/>
    <x v="0"/>
    <m/>
    <s v="Change of use from B1 to C3 (1No. studio flat and 2No. one bed apartments)."/>
    <s v="4 Udney Park Road_x000d_Teddington_x000d_TW11 9BG_x000d_"/>
    <s v="TW11 9BG"/>
    <m/>
    <m/>
    <m/>
    <m/>
    <m/>
    <m/>
    <m/>
    <m/>
    <n v="0"/>
    <m/>
    <n v="3"/>
    <m/>
    <m/>
    <m/>
    <m/>
    <m/>
    <m/>
    <m/>
    <n v="3"/>
    <n v="3"/>
    <n v="0"/>
    <n v="0"/>
    <n v="0"/>
    <n v="0"/>
    <n v="0"/>
    <n v="0"/>
    <n v="0"/>
    <n v="3"/>
    <x v="0"/>
    <n v="0"/>
    <n v="0"/>
    <n v="0.75"/>
    <n v="0.75"/>
    <n v="0.75"/>
    <n v="0.75"/>
    <m/>
    <m/>
    <m/>
    <m/>
    <m/>
    <n v="3"/>
    <n v="516288"/>
    <n v="171091"/>
    <s v="Teddington"/>
  </r>
  <r>
    <s v="18/2716/GPD13"/>
    <x v="1"/>
    <x v="1"/>
    <d v="2018-10-08T00:00:00"/>
    <d v="2021-10-08T00:00:00"/>
    <m/>
    <m/>
    <x v="2"/>
    <x v="0"/>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x v="0"/>
    <n v="0"/>
    <n v="0"/>
    <n v="0.75"/>
    <n v="0.75"/>
    <n v="0.75"/>
    <n v="0.75"/>
    <m/>
    <m/>
    <m/>
    <m/>
    <m/>
    <n v="3"/>
    <n v="519756"/>
    <n v="175319"/>
    <s v="East Sheen"/>
  </r>
  <r>
    <s v="18/2943/FUL"/>
    <x v="4"/>
    <x v="0"/>
    <d v="2019-11-07T00:00:00"/>
    <d v="2022-11-07T00:00:00"/>
    <m/>
    <m/>
    <x v="2"/>
    <x v="0"/>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x v="0"/>
    <n v="0"/>
    <n v="0"/>
    <n v="1.5"/>
    <n v="1.5"/>
    <n v="1.5"/>
    <n v="1.5"/>
    <m/>
    <m/>
    <m/>
    <m/>
    <m/>
    <n v="6"/>
    <n v="512869"/>
    <n v="169793"/>
    <s v="Hampton"/>
  </r>
  <r>
    <s v="18/3003/FUL"/>
    <x v="0"/>
    <x v="0"/>
    <d v="2019-05-24T00:00:00"/>
    <d v="2022-05-24T00:00:00"/>
    <m/>
    <m/>
    <x v="2"/>
    <x v="0"/>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x v="0"/>
    <n v="0"/>
    <n v="0"/>
    <n v="0.25"/>
    <n v="0.25"/>
    <n v="0.25"/>
    <n v="0.25"/>
    <m/>
    <m/>
    <m/>
    <m/>
    <m/>
    <n v="1"/>
    <n v="516557"/>
    <n v="175273"/>
    <s v="St. Margarets and North Twickenham"/>
  </r>
  <r>
    <s v="18/3195/GPD15"/>
    <x v="1"/>
    <x v="1"/>
    <d v="2018-11-12T00:00:00"/>
    <d v="2021-11-12T00:00:00"/>
    <m/>
    <m/>
    <x v="2"/>
    <x v="0"/>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x v="0"/>
    <n v="0"/>
    <n v="0"/>
    <n v="0.25"/>
    <n v="0.25"/>
    <n v="0.25"/>
    <n v="0.25"/>
    <m/>
    <m/>
    <m/>
    <m/>
    <m/>
    <n v="1"/>
    <n v="520495"/>
    <n v="175597"/>
    <s v="East Sheen"/>
  </r>
  <r>
    <s v="18/3285/FUL"/>
    <x v="0"/>
    <x v="0"/>
    <d v="2019-03-18T00:00:00"/>
    <d v="2022-03-18T00:00:00"/>
    <m/>
    <m/>
    <x v="2"/>
    <x v="0"/>
    <m/>
    <s v="Demolition of existing house and construction of a new 5 bed house with basement"/>
    <s v="74 Lowther Road_x000d_Barnes_x000d_London_x000d_SW13 9NU"/>
    <s v="SW13 9NU"/>
    <m/>
    <m/>
    <m/>
    <n v="1"/>
    <m/>
    <m/>
    <m/>
    <m/>
    <n v="1"/>
    <m/>
    <m/>
    <m/>
    <m/>
    <m/>
    <n v="1"/>
    <m/>
    <m/>
    <m/>
    <n v="1"/>
    <n v="0"/>
    <n v="0"/>
    <n v="0"/>
    <n v="-1"/>
    <n v="1"/>
    <n v="0"/>
    <n v="0"/>
    <n v="0"/>
    <n v="0"/>
    <x v="0"/>
    <n v="0"/>
    <n v="0"/>
    <n v="0"/>
    <n v="0"/>
    <n v="0"/>
    <n v="0"/>
    <m/>
    <m/>
    <m/>
    <m/>
    <m/>
    <n v="0"/>
    <n v="521978"/>
    <n v="177062"/>
    <s v="Barnes"/>
  </r>
  <r>
    <s v="18/3460/FUL"/>
    <x v="2"/>
    <x v="0"/>
    <d v="2019-02-26T00:00:00"/>
    <d v="2022-02-26T00:00:00"/>
    <m/>
    <m/>
    <x v="2"/>
    <x v="0"/>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x v="0"/>
    <n v="0"/>
    <n v="0"/>
    <n v="0.25"/>
    <n v="0.25"/>
    <n v="0.25"/>
    <n v="0.25"/>
    <m/>
    <m/>
    <m/>
    <m/>
    <m/>
    <n v="1"/>
    <n v="517894"/>
    <n v="174757"/>
    <s v="South Richmond"/>
  </r>
  <r>
    <s v="18/3613/GPD15"/>
    <x v="1"/>
    <x v="1"/>
    <d v="2018-12-28T00:00:00"/>
    <d v="2021-12-28T00:00:00"/>
    <m/>
    <m/>
    <x v="2"/>
    <x v="0"/>
    <m/>
    <s v="Change of use from office B1(a) to C3 (Resdiential) use to provide 1 x 1 bed dwellinghouse."/>
    <s v="108 Shacklegate Lane_x000d_Teddington_x000d_TW11 8SH_x000d_"/>
    <s v="TW11 8SH"/>
    <m/>
    <m/>
    <m/>
    <m/>
    <m/>
    <m/>
    <m/>
    <m/>
    <n v="0"/>
    <m/>
    <n v="1"/>
    <m/>
    <m/>
    <m/>
    <m/>
    <m/>
    <m/>
    <m/>
    <n v="1"/>
    <n v="1"/>
    <n v="0"/>
    <n v="0"/>
    <n v="0"/>
    <n v="0"/>
    <n v="0"/>
    <n v="0"/>
    <n v="0"/>
    <n v="1"/>
    <x v="0"/>
    <n v="0"/>
    <n v="0"/>
    <n v="0.25"/>
    <n v="0.25"/>
    <n v="0.25"/>
    <n v="0.25"/>
    <m/>
    <m/>
    <m/>
    <m/>
    <m/>
    <n v="1"/>
    <n v="515394"/>
    <n v="171656"/>
    <s v="Fulwell and Hampton Hill"/>
  </r>
  <r>
    <s v="18/3696/FUL"/>
    <x v="1"/>
    <x v="0"/>
    <d v="2019-02-08T00:00:00"/>
    <d v="2022-02-08T00:00:00"/>
    <m/>
    <m/>
    <x v="2"/>
    <x v="0"/>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x v="0"/>
    <n v="0"/>
    <n v="0"/>
    <n v="0.25"/>
    <n v="0.25"/>
    <n v="0.25"/>
    <n v="0.25"/>
    <m/>
    <m/>
    <m/>
    <m/>
    <m/>
    <n v="1"/>
    <n v="515502"/>
    <n v="173093"/>
    <s v="South Twickenham"/>
  </r>
  <r>
    <s v="18/3930/FUL"/>
    <x v="0"/>
    <x v="0"/>
    <d v="2019-10-17T00:00:00"/>
    <d v="2022-10-17T00:00:00"/>
    <m/>
    <m/>
    <x v="2"/>
    <x v="0"/>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x v="0"/>
    <n v="0"/>
    <n v="0"/>
    <n v="0.25"/>
    <n v="0.25"/>
    <n v="0.25"/>
    <n v="0.25"/>
    <m/>
    <m/>
    <m/>
    <m/>
    <m/>
    <n v="1"/>
    <n v="516550"/>
    <n v="171027"/>
    <s v="Hampton Wick"/>
  </r>
  <r>
    <s v="18/3950/FUL"/>
    <x v="1"/>
    <x v="0"/>
    <d v="2019-07-15T00:00:00"/>
    <d v="2022-07-15T00:00:00"/>
    <m/>
    <m/>
    <x v="2"/>
    <x v="1"/>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x v="0"/>
    <n v="0"/>
    <n v="0"/>
    <n v="0"/>
    <n v="5.5"/>
    <n v="5.5"/>
    <n v="0"/>
    <m/>
    <m/>
    <m/>
    <m/>
    <m/>
    <n v="11"/>
    <n v="518144"/>
    <n v="175553"/>
    <s v="North Richmond"/>
  </r>
  <r>
    <s v="18/3950/FUL"/>
    <x v="1"/>
    <x v="0"/>
    <d v="2019-07-15T00:00:00"/>
    <d v="2022-07-15T00:00:00"/>
    <m/>
    <m/>
    <x v="2"/>
    <x v="2"/>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x v="0"/>
    <n v="0"/>
    <n v="0"/>
    <n v="0"/>
    <n v="2"/>
    <n v="2"/>
    <n v="0"/>
    <m/>
    <m/>
    <m/>
    <m/>
    <m/>
    <n v="4"/>
    <n v="518144"/>
    <n v="175553"/>
    <s v="North Richmond"/>
  </r>
  <r>
    <s v="18/3950/FUL"/>
    <x v="1"/>
    <x v="0"/>
    <d v="2019-07-15T00:00:00"/>
    <d v="2022-07-15T00:00:00"/>
    <m/>
    <m/>
    <x v="2"/>
    <x v="0"/>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x v="0"/>
    <n v="0"/>
    <n v="0"/>
    <n v="0"/>
    <n v="28"/>
    <n v="28"/>
    <n v="0"/>
    <m/>
    <m/>
    <m/>
    <m/>
    <m/>
    <n v="56"/>
    <n v="518144"/>
    <n v="175553"/>
    <s v="North Richmond"/>
  </r>
  <r>
    <s v="18/3952/FUL"/>
    <x v="0"/>
    <x v="0"/>
    <d v="2019-03-29T00:00:00"/>
    <d v="2022-04-01T00:00:00"/>
    <m/>
    <m/>
    <x v="2"/>
    <x v="0"/>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x v="0"/>
    <n v="0"/>
    <n v="0"/>
    <n v="0"/>
    <n v="0"/>
    <n v="0"/>
    <n v="0"/>
    <m/>
    <m/>
    <m/>
    <m/>
    <m/>
    <n v="0"/>
    <n v="513943"/>
    <n v="170016"/>
    <s v="Hampton"/>
  </r>
  <r>
    <s v="18/3954/FUL"/>
    <x v="0"/>
    <x v="0"/>
    <d v="2019-07-08T00:00:00"/>
    <d v="2022-06-24T00:00:00"/>
    <m/>
    <m/>
    <x v="2"/>
    <x v="0"/>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x v="0"/>
    <n v="0"/>
    <n v="0"/>
    <n v="0"/>
    <n v="0"/>
    <n v="0"/>
    <n v="0"/>
    <m/>
    <m/>
    <m/>
    <m/>
    <m/>
    <n v="0"/>
    <n v="519436"/>
    <n v="174990"/>
    <s v="South Richmond"/>
  </r>
  <r>
    <s v="18/4125/FUL"/>
    <x v="2"/>
    <x v="0"/>
    <d v="2019-02-06T00:00:00"/>
    <d v="2022-02-06T00:00:00"/>
    <m/>
    <m/>
    <x v="2"/>
    <x v="0"/>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x v="0"/>
    <n v="0"/>
    <n v="0"/>
    <n v="0.5"/>
    <n v="0.5"/>
    <n v="0.5"/>
    <n v="0.5"/>
    <m/>
    <m/>
    <m/>
    <m/>
    <m/>
    <n v="2"/>
    <n v="514632"/>
    <n v="171370"/>
    <s v="Fulwell and Hampton Hill"/>
  </r>
  <r>
    <s v="18/4138/FUL"/>
    <x v="0"/>
    <x v="0"/>
    <d v="2019-11-11T00:00:00"/>
    <d v="2022-11-11T00:00:00"/>
    <d v="2020-04-14T00:00:00"/>
    <m/>
    <x v="2"/>
    <x v="0"/>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x v="0"/>
    <n v="0"/>
    <n v="0"/>
    <n v="0"/>
    <n v="0"/>
    <n v="0"/>
    <n v="0"/>
    <m/>
    <m/>
    <m/>
    <m/>
    <m/>
    <n v="0"/>
    <n v="519487"/>
    <n v="176661"/>
    <s v="Kew"/>
  </r>
  <r>
    <s v="18/4183/FUL"/>
    <x v="0"/>
    <x v="0"/>
    <d v="2019-07-25T00:00:00"/>
    <d v="2022-07-25T00:00:00"/>
    <m/>
    <m/>
    <x v="2"/>
    <x v="0"/>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x v="0"/>
    <n v="0"/>
    <n v="0"/>
    <n v="0.25"/>
    <n v="0.25"/>
    <n v="0.25"/>
    <n v="0.25"/>
    <m/>
    <m/>
    <m/>
    <m/>
    <m/>
    <n v="1"/>
    <n v="521611"/>
    <n v="175705"/>
    <s v="Mortlake and Barnes Common"/>
  </r>
  <r>
    <s v="18/4259/FUL"/>
    <x v="2"/>
    <x v="0"/>
    <d v="2019-09-23T00:00:00"/>
    <d v="2022-09-23T00:00:00"/>
    <m/>
    <m/>
    <x v="2"/>
    <x v="0"/>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x v="0"/>
    <n v="0"/>
    <n v="0"/>
    <n v="-0.25"/>
    <n v="-0.25"/>
    <n v="-0.25"/>
    <n v="-0.25"/>
    <m/>
    <m/>
    <m/>
    <m/>
    <m/>
    <n v="-1"/>
    <n v="521753"/>
    <n v="176604"/>
    <s v="Barnes"/>
  </r>
  <r>
    <s v="19/0171/GPD15"/>
    <x v="1"/>
    <x v="1"/>
    <d v="2019-03-19T00:00:00"/>
    <d v="2022-03-19T00:00:00"/>
    <m/>
    <m/>
    <x v="2"/>
    <x v="0"/>
    <m/>
    <s v="Change of use from B1 (Offices) to C3(a) (Dwellings) (2 x 2 bed)."/>
    <s v="62 Glentham Road_x000d_Barnes_x000d_London_x000d_SW13 9JJ_x000d_"/>
    <s v="SW13 9JJ"/>
    <m/>
    <m/>
    <m/>
    <m/>
    <m/>
    <m/>
    <m/>
    <m/>
    <n v="0"/>
    <m/>
    <m/>
    <n v="2"/>
    <m/>
    <m/>
    <m/>
    <m/>
    <m/>
    <m/>
    <n v="2"/>
    <n v="0"/>
    <n v="2"/>
    <n v="0"/>
    <n v="0"/>
    <n v="0"/>
    <n v="0"/>
    <n v="0"/>
    <n v="0"/>
    <n v="2"/>
    <x v="0"/>
    <n v="0"/>
    <n v="0"/>
    <n v="0.5"/>
    <n v="0.5"/>
    <n v="0.5"/>
    <n v="0.5"/>
    <m/>
    <m/>
    <m/>
    <m/>
    <m/>
    <n v="2"/>
    <n v="522531"/>
    <n v="177884"/>
    <s v="Barnes"/>
  </r>
  <r>
    <s v="19/0175/FUL"/>
    <x v="0"/>
    <x v="0"/>
    <d v="2019-05-09T00:00:00"/>
    <d v="2022-05-09T00:00:00"/>
    <m/>
    <m/>
    <x v="2"/>
    <x v="0"/>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x v="0"/>
    <n v="0"/>
    <n v="0"/>
    <n v="0"/>
    <n v="0"/>
    <n v="0"/>
    <n v="0"/>
    <m/>
    <m/>
    <m/>
    <m/>
    <m/>
    <n v="0"/>
    <n v="516414"/>
    <n v="173065"/>
    <s v="Twickenham Riverside"/>
  </r>
  <r>
    <s v="19/0228/FUL"/>
    <x v="2"/>
    <x v="0"/>
    <d v="2019-06-28T00:00:00"/>
    <d v="2022-06-28T00:00:00"/>
    <m/>
    <m/>
    <x v="2"/>
    <x v="0"/>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x v="0"/>
    <n v="0"/>
    <n v="0"/>
    <n v="0.25"/>
    <n v="0.25"/>
    <n v="0.25"/>
    <n v="0.25"/>
    <m/>
    <m/>
    <m/>
    <m/>
    <m/>
    <n v="1"/>
    <n v="518380"/>
    <n v="175623"/>
    <s v="North Richmond"/>
  </r>
  <r>
    <s v="19/0338/FUL"/>
    <x v="0"/>
    <x v="0"/>
    <d v="2019-05-24T00:00:00"/>
    <d v="2022-05-24T00:00:00"/>
    <m/>
    <m/>
    <x v="2"/>
    <x v="0"/>
    <m/>
    <s v="Demolition of existing 3-bedroom bungalow and erection of a new 3-bedroom detached house with basement level."/>
    <s v="48 Fourth Cross Road_x000d_Twickenham_x000d_TW2 5EL"/>
    <s v="TW2 5EL"/>
    <m/>
    <m/>
    <n v="1"/>
    <m/>
    <m/>
    <m/>
    <m/>
    <m/>
    <n v="1"/>
    <m/>
    <m/>
    <m/>
    <n v="1"/>
    <m/>
    <m/>
    <m/>
    <m/>
    <m/>
    <n v="1"/>
    <n v="0"/>
    <n v="0"/>
    <n v="0"/>
    <n v="0"/>
    <n v="0"/>
    <n v="0"/>
    <n v="0"/>
    <n v="0"/>
    <n v="0"/>
    <x v="0"/>
    <n v="0"/>
    <n v="0"/>
    <n v="0"/>
    <n v="0"/>
    <n v="0"/>
    <n v="0"/>
    <m/>
    <m/>
    <m/>
    <m/>
    <m/>
    <n v="0"/>
    <n v="514720"/>
    <n v="172712"/>
    <s v="West Twickenham"/>
  </r>
  <r>
    <s v="19/0382/FUL"/>
    <x v="0"/>
    <x v="0"/>
    <d v="2019-12-05T00:00:00"/>
    <d v="2022-12-05T00:00:00"/>
    <m/>
    <m/>
    <x v="2"/>
    <x v="0"/>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x v="0"/>
    <n v="0"/>
    <n v="0"/>
    <n v="0.25"/>
    <n v="0.25"/>
    <n v="0.25"/>
    <n v="0.25"/>
    <m/>
    <m/>
    <m/>
    <m/>
    <m/>
    <n v="1"/>
    <n v="515414"/>
    <n v="172536"/>
    <s v="South Twickenham"/>
  </r>
  <r>
    <s v="19/0391/FUL"/>
    <x v="0"/>
    <x v="0"/>
    <d v="2020-02-20T00:00:00"/>
    <d v="2023-02-20T00:00:00"/>
    <m/>
    <m/>
    <x v="2"/>
    <x v="0"/>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x v="0"/>
    <n v="0"/>
    <n v="0"/>
    <n v="1.75"/>
    <n v="1.75"/>
    <n v="1.75"/>
    <n v="1.75"/>
    <m/>
    <m/>
    <m/>
    <m/>
    <m/>
    <n v="7"/>
    <n v="521492"/>
    <n v="175545"/>
    <s v="Mortlake and Barnes Common"/>
  </r>
  <r>
    <s v="19/0414/FUL"/>
    <x v="0"/>
    <x v="0"/>
    <d v="2020-01-22T00:00:00"/>
    <d v="2023-01-23T00:00:00"/>
    <m/>
    <m/>
    <x v="2"/>
    <x v="0"/>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x v="0"/>
    <n v="0"/>
    <n v="0"/>
    <n v="0.5"/>
    <n v="0.5"/>
    <n v="0.5"/>
    <n v="0.5"/>
    <m/>
    <m/>
    <m/>
    <m/>
    <m/>
    <n v="2"/>
    <n v="513048"/>
    <n v="173758"/>
    <s v="Heathfield"/>
  </r>
  <r>
    <s v="19/0823/GPD13"/>
    <x v="1"/>
    <x v="1"/>
    <d v="2019-05-07T00:00:00"/>
    <d v="2022-05-07T00:00:00"/>
    <m/>
    <m/>
    <x v="2"/>
    <x v="0"/>
    <m/>
    <s v="Conversion of commercial unit to self-contained 2no. bedroom unit"/>
    <s v="203 Sandycombe Road_x000d_Richmond_x000d_TW9 2EW_x000d_"/>
    <s v="TW9 2EW"/>
    <m/>
    <m/>
    <m/>
    <m/>
    <m/>
    <m/>
    <m/>
    <m/>
    <n v="0"/>
    <m/>
    <m/>
    <n v="1"/>
    <m/>
    <m/>
    <m/>
    <m/>
    <m/>
    <m/>
    <n v="1"/>
    <n v="0"/>
    <n v="1"/>
    <n v="0"/>
    <n v="0"/>
    <n v="0"/>
    <n v="0"/>
    <n v="0"/>
    <n v="0"/>
    <n v="1"/>
    <x v="0"/>
    <n v="0"/>
    <n v="0"/>
    <n v="0.25"/>
    <n v="0.25"/>
    <n v="0.25"/>
    <n v="0.25"/>
    <m/>
    <m/>
    <m/>
    <m/>
    <m/>
    <n v="1"/>
    <n v="519091"/>
    <n v="176195"/>
    <s v="Kew"/>
  </r>
  <r>
    <s v="19/0847/FUL"/>
    <x v="0"/>
    <x v="0"/>
    <d v="2019-12-23T00:00:00"/>
    <d v="2022-12-24T00:00:00"/>
    <m/>
    <m/>
    <x v="2"/>
    <x v="0"/>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x v="0"/>
    <n v="0"/>
    <n v="0"/>
    <n v="0"/>
    <n v="0"/>
    <n v="0"/>
    <n v="0"/>
    <m/>
    <m/>
    <m/>
    <m/>
    <m/>
    <n v="0"/>
    <n v="516412"/>
    <n v="171302"/>
    <s v="Teddington"/>
  </r>
  <r>
    <s v="19/0911/FUL"/>
    <x v="4"/>
    <x v="0"/>
    <d v="2020-01-17T00:00:00"/>
    <d v="2023-02-05T00:00:00"/>
    <m/>
    <m/>
    <x v="2"/>
    <x v="0"/>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x v="0"/>
    <n v="0"/>
    <n v="0"/>
    <n v="0.5"/>
    <n v="0.5"/>
    <n v="0.5"/>
    <n v="0.5"/>
    <m/>
    <m/>
    <m/>
    <m/>
    <m/>
    <n v="2"/>
    <n v="517543"/>
    <n v="169767"/>
    <s v="Hampton Wick"/>
  </r>
  <r>
    <s v="19/1029/FUL"/>
    <x v="4"/>
    <x v="0"/>
    <d v="2019-09-17T00:00:00"/>
    <d v="2022-09-17T00:00:00"/>
    <m/>
    <m/>
    <x v="2"/>
    <x v="0"/>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x v="0"/>
    <n v="0"/>
    <n v="0"/>
    <n v="0.25"/>
    <n v="0.25"/>
    <n v="0.25"/>
    <n v="0.25"/>
    <m/>
    <m/>
    <m/>
    <m/>
    <m/>
    <n v="1"/>
    <n v="513857"/>
    <n v="171464"/>
    <s v="Fulwell and Hampton Hill"/>
  </r>
  <r>
    <s v="19/1033/GPD23"/>
    <x v="1"/>
    <x v="1"/>
    <d v="2019-06-05T00:00:00"/>
    <d v="2022-06-05T00:00:00"/>
    <m/>
    <m/>
    <x v="2"/>
    <x v="0"/>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x v="0"/>
    <n v="0"/>
    <n v="0"/>
    <n v="0.25"/>
    <n v="0.25"/>
    <n v="0.25"/>
    <n v="0.25"/>
    <m/>
    <m/>
    <m/>
    <m/>
    <m/>
    <n v="1"/>
    <n v="520517"/>
    <n v="175507"/>
    <s v="East Sheen"/>
  </r>
  <r>
    <s v="19/1098/FUL"/>
    <x v="0"/>
    <x v="0"/>
    <d v="2019-08-23T00:00:00"/>
    <d v="2022-08-27T00:00:00"/>
    <m/>
    <m/>
    <x v="2"/>
    <x v="0"/>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x v="0"/>
    <n v="0"/>
    <n v="0"/>
    <n v="-0.25"/>
    <n v="-0.25"/>
    <n v="-0.25"/>
    <n v="-0.25"/>
    <m/>
    <m/>
    <m/>
    <m/>
    <m/>
    <n v="-1"/>
    <n v="520394"/>
    <n v="175127"/>
    <s v="East Sheen"/>
  </r>
  <r>
    <s v="19/1162/FUL"/>
    <x v="3"/>
    <x v="0"/>
    <d v="2020-03-20T00:00:00"/>
    <d v="2023-03-20T00:00:00"/>
    <m/>
    <m/>
    <x v="2"/>
    <x v="0"/>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x v="0"/>
    <n v="0"/>
    <n v="0"/>
    <n v="0.25"/>
    <n v="0.25"/>
    <n v="0.25"/>
    <n v="0.25"/>
    <m/>
    <m/>
    <m/>
    <m/>
    <m/>
    <n v="1"/>
    <n v="517949"/>
    <n v="174506"/>
    <s v="South Richmond"/>
  </r>
  <r>
    <s v="19/1219/FUL"/>
    <x v="0"/>
    <x v="0"/>
    <d v="2019-12-11T00:00:00"/>
    <d v="2022-12-11T00:00:00"/>
    <m/>
    <m/>
    <x v="2"/>
    <x v="0"/>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x v="0"/>
    <n v="0"/>
    <n v="0"/>
    <n v="0"/>
    <n v="0"/>
    <n v="0"/>
    <n v="0"/>
    <m/>
    <m/>
    <m/>
    <m/>
    <m/>
    <n v="0"/>
    <n v="520990"/>
    <n v="175033"/>
    <s v="East Sheen"/>
  </r>
  <r>
    <s v="19/1361/FUL"/>
    <x v="4"/>
    <x v="0"/>
    <d v="2019-07-16T00:00:00"/>
    <d v="2022-07-16T00:00:00"/>
    <d v="2020-06-17T00:00:00"/>
    <d v="2020-09-30T00:00:00"/>
    <x v="2"/>
    <x v="0"/>
    <m/>
    <s v="Extension of 4-bedroom single family dwelling house and conversion to divide into 2No. 2-bedroom houses."/>
    <s v="2F Fifth Cross Road_x000a_Twickenham_x000a_TW2 5LQ"/>
    <s v="TW2 5LQ"/>
    <m/>
    <m/>
    <m/>
    <n v="1"/>
    <m/>
    <m/>
    <m/>
    <m/>
    <n v="1"/>
    <m/>
    <m/>
    <n v="2"/>
    <m/>
    <m/>
    <m/>
    <m/>
    <m/>
    <m/>
    <n v="2"/>
    <n v="0"/>
    <n v="2"/>
    <n v="0"/>
    <n v="-1"/>
    <n v="0"/>
    <n v="0"/>
    <n v="0"/>
    <n v="0"/>
    <n v="1"/>
    <x v="0"/>
    <n v="0"/>
    <n v="1"/>
    <n v="0"/>
    <n v="0"/>
    <n v="0"/>
    <n v="0"/>
    <m/>
    <m/>
    <m/>
    <m/>
    <m/>
    <n v="1"/>
    <n v="514833"/>
    <n v="172367"/>
    <s v="West Twickenham"/>
  </r>
  <r>
    <s v="19/1602/GPD15"/>
    <x v="1"/>
    <x v="1"/>
    <d v="2019-07-15T00:00:00"/>
    <d v="2022-07-15T00:00:00"/>
    <m/>
    <m/>
    <x v="2"/>
    <x v="0"/>
    <m/>
    <s v="Change of use from B1(a) (office) to C3 (residential) to provide 1 x 1 bed self-contained residential dwelling."/>
    <s v="106 Shacklegate Lane_x000d_Teddington_x000d_TW11 8SH_x000d_"/>
    <s v="TW11 8SH"/>
    <m/>
    <m/>
    <m/>
    <m/>
    <m/>
    <m/>
    <m/>
    <m/>
    <n v="0"/>
    <m/>
    <n v="1"/>
    <m/>
    <m/>
    <m/>
    <m/>
    <m/>
    <m/>
    <m/>
    <n v="1"/>
    <n v="1"/>
    <n v="0"/>
    <n v="0"/>
    <n v="0"/>
    <n v="0"/>
    <n v="0"/>
    <n v="0"/>
    <n v="0"/>
    <n v="1"/>
    <x v="0"/>
    <n v="0"/>
    <n v="0"/>
    <n v="0.25"/>
    <n v="0.25"/>
    <n v="0.25"/>
    <n v="0.25"/>
    <m/>
    <m/>
    <m/>
    <m/>
    <m/>
    <n v="1"/>
    <n v="515391"/>
    <n v="171652"/>
    <s v="Fulwell and Hampton Hill"/>
  </r>
  <r>
    <s v="19/1649/GPD15"/>
    <x v="1"/>
    <x v="1"/>
    <d v="2019-07-16T00:00:00"/>
    <d v="2022-07-16T00:00:00"/>
    <m/>
    <m/>
    <x v="2"/>
    <x v="0"/>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x v="0"/>
    <n v="0"/>
    <n v="0"/>
    <n v="0.25"/>
    <n v="0.25"/>
    <n v="0.25"/>
    <n v="0.25"/>
    <m/>
    <m/>
    <m/>
    <m/>
    <m/>
    <n v="1"/>
    <n v="516442"/>
    <n v="173470"/>
    <s v="Twickenham Riverside"/>
  </r>
  <r>
    <s v="19/1703/FUL"/>
    <x v="1"/>
    <x v="0"/>
    <d v="2019-08-12T00:00:00"/>
    <d v="2022-12-27T00:00:00"/>
    <m/>
    <m/>
    <x v="2"/>
    <x v="0"/>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x v="0"/>
    <n v="0"/>
    <n v="0"/>
    <n v="0.25"/>
    <n v="0.25"/>
    <n v="0.25"/>
    <n v="0.25"/>
    <m/>
    <m/>
    <m/>
    <m/>
    <m/>
    <n v="1"/>
    <n v="514733"/>
    <n v="172125"/>
    <s v="West Twickenham"/>
  </r>
  <r>
    <s v="19/1731/FUL"/>
    <x v="0"/>
    <x v="0"/>
    <d v="2019-08-21T00:00:00"/>
    <d v="2022-08-21T00:00:00"/>
    <m/>
    <m/>
    <x v="2"/>
    <x v="0"/>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x v="0"/>
    <n v="0"/>
    <n v="0"/>
    <n v="0"/>
    <n v="0"/>
    <n v="0"/>
    <n v="0"/>
    <m/>
    <m/>
    <m/>
    <m/>
    <m/>
    <n v="0"/>
    <n v="515806"/>
    <n v="172455"/>
    <s v="South Twickenham"/>
  </r>
  <r>
    <s v="19/1759/FUL"/>
    <x v="2"/>
    <x v="0"/>
    <d v="2019-09-09T00:00:00"/>
    <d v="2022-09-16T00:00:00"/>
    <m/>
    <m/>
    <x v="2"/>
    <x v="0"/>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x v="0"/>
    <n v="0"/>
    <n v="0"/>
    <n v="0.75"/>
    <n v="0.75"/>
    <n v="0.75"/>
    <n v="0.75"/>
    <m/>
    <m/>
    <m/>
    <m/>
    <m/>
    <n v="3"/>
    <n v="514632"/>
    <n v="171370"/>
    <s v="Fulwell and Hampton Hill"/>
  </r>
  <r>
    <s v="19/1763/FUL"/>
    <x v="0"/>
    <x v="0"/>
    <d v="2019-09-23T00:00:00"/>
    <d v="2022-09-23T00:00:00"/>
    <m/>
    <m/>
    <x v="2"/>
    <x v="0"/>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x v="0"/>
    <n v="0"/>
    <n v="0"/>
    <n v="0.5"/>
    <n v="0.5"/>
    <n v="0.5"/>
    <n v="0.5"/>
    <m/>
    <m/>
    <m/>
    <m/>
    <m/>
    <n v="2"/>
    <n v="515377"/>
    <n v="173631"/>
    <s v="St. Margarets and North Twickenham"/>
  </r>
  <r>
    <s v="19/1895/FUL"/>
    <x v="4"/>
    <x v="0"/>
    <d v="2019-10-23T00:00:00"/>
    <d v="2022-10-23T00:00:00"/>
    <m/>
    <m/>
    <x v="2"/>
    <x v="0"/>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x v="0"/>
    <n v="0"/>
    <n v="0"/>
    <n v="0"/>
    <n v="0"/>
    <n v="0"/>
    <n v="0"/>
    <m/>
    <m/>
    <m/>
    <m/>
    <m/>
    <n v="0"/>
    <n v="517763"/>
    <n v="171588"/>
    <s v="Ham, Petersham and Richmond Riverside"/>
  </r>
  <r>
    <s v="19/1997/GPD23"/>
    <x v="1"/>
    <x v="1"/>
    <d v="2019-08-29T00:00:00"/>
    <d v="2022-08-29T00:00:00"/>
    <m/>
    <m/>
    <x v="2"/>
    <x v="0"/>
    <m/>
    <s v="Change of use of property from B1(c) light industrial use to C3 residential (1x2 bedroom house)"/>
    <s v="1A - 3A Holly Road_x000d_Hampton Hill_x000d_Hampton_x000d_TW12 1QF_x000d_"/>
    <s v="TW12 1QF"/>
    <m/>
    <m/>
    <m/>
    <m/>
    <m/>
    <m/>
    <m/>
    <m/>
    <n v="0"/>
    <m/>
    <m/>
    <n v="1"/>
    <m/>
    <m/>
    <m/>
    <m/>
    <m/>
    <m/>
    <n v="1"/>
    <n v="0"/>
    <n v="1"/>
    <n v="0"/>
    <n v="0"/>
    <n v="0"/>
    <n v="0"/>
    <n v="0"/>
    <n v="0"/>
    <n v="1"/>
    <x v="0"/>
    <n v="0"/>
    <n v="0"/>
    <n v="0.25"/>
    <n v="0.25"/>
    <n v="0.25"/>
    <n v="0.25"/>
    <m/>
    <m/>
    <m/>
    <m/>
    <m/>
    <n v="1"/>
    <n v="514191"/>
    <n v="170734"/>
    <s v="Fulwell and Hampton Hill"/>
  </r>
  <r>
    <s v="19/2102/FUL"/>
    <x v="4"/>
    <x v="0"/>
    <d v="2019-08-21T00:00:00"/>
    <d v="2022-08-27T00:00:00"/>
    <m/>
    <m/>
    <x v="2"/>
    <x v="0"/>
    <m/>
    <s v="Rear extension at second floor level to form a new studio flat."/>
    <s v="Tabard House_x000d_22 Upper Teddington Road_x000d_Hampton Wick_x000d_KT1 4DT_x000d_"/>
    <s v="KT1 4DT"/>
    <m/>
    <m/>
    <m/>
    <m/>
    <m/>
    <m/>
    <m/>
    <m/>
    <n v="0"/>
    <m/>
    <n v="1"/>
    <m/>
    <m/>
    <m/>
    <m/>
    <m/>
    <m/>
    <m/>
    <n v="1"/>
    <n v="1"/>
    <n v="0"/>
    <n v="0"/>
    <n v="0"/>
    <n v="0"/>
    <n v="0"/>
    <n v="0"/>
    <n v="0"/>
    <n v="1"/>
    <x v="0"/>
    <n v="0"/>
    <n v="0"/>
    <n v="0.25"/>
    <n v="0.25"/>
    <n v="0.25"/>
    <n v="0.25"/>
    <m/>
    <m/>
    <m/>
    <m/>
    <m/>
    <n v="1"/>
    <n v="517355"/>
    <n v="169968"/>
    <s v="Hampton Wick"/>
  </r>
  <r>
    <s v="19/2273/FUL"/>
    <x v="1"/>
    <x v="0"/>
    <d v="2019-12-23T00:00:00"/>
    <d v="2022-12-23T00:00:00"/>
    <m/>
    <m/>
    <x v="2"/>
    <x v="0"/>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x v="0"/>
    <n v="0"/>
    <n v="0"/>
    <n v="0.25"/>
    <n v="0.25"/>
    <n v="0.25"/>
    <n v="0.25"/>
    <m/>
    <m/>
    <m/>
    <m/>
    <m/>
    <n v="1"/>
    <n v="512318"/>
    <n v="171284"/>
    <s v="Hampton North"/>
  </r>
  <r>
    <s v="19/2300/FUL"/>
    <x v="0"/>
    <x v="0"/>
    <d v="2019-09-23T00:00:00"/>
    <d v="2022-09-23T00:00:00"/>
    <m/>
    <m/>
    <x v="2"/>
    <x v="0"/>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x v="0"/>
    <n v="0"/>
    <n v="0"/>
    <n v="1.75"/>
    <n v="1.75"/>
    <n v="1.75"/>
    <n v="1.75"/>
    <m/>
    <m/>
    <m/>
    <m/>
    <m/>
    <n v="7"/>
    <n v="518353"/>
    <n v="175510"/>
    <s v="North Richmond"/>
  </r>
  <r>
    <s v="19/2788/FUL"/>
    <x v="4"/>
    <x v="0"/>
    <d v="2020-01-31T00:00:00"/>
    <d v="2023-02-03T00:00:00"/>
    <m/>
    <m/>
    <x v="2"/>
    <x v="0"/>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x v="0"/>
    <n v="0"/>
    <n v="0"/>
    <n v="0.25"/>
    <n v="0.25"/>
    <n v="0.25"/>
    <n v="0.25"/>
    <m/>
    <m/>
    <m/>
    <m/>
    <m/>
    <n v="1"/>
    <n v="519131"/>
    <n v="176452"/>
    <s v="Kew"/>
  </r>
  <r>
    <s v="19/2796/GPD15"/>
    <x v="1"/>
    <x v="1"/>
    <d v="2019-11-05T00:00:00"/>
    <d v="2022-07-05T00:00:00"/>
    <m/>
    <m/>
    <x v="2"/>
    <x v="0"/>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x v="0"/>
    <n v="0"/>
    <n v="0"/>
    <n v="0.25"/>
    <n v="0.25"/>
    <n v="0.25"/>
    <n v="0.25"/>
    <m/>
    <m/>
    <m/>
    <m/>
    <m/>
    <n v="1"/>
    <n v="521408"/>
    <n v="175714"/>
    <s v="Mortlake and Barnes Common"/>
  </r>
  <r>
    <s v="19/3025/FUL"/>
    <x v="1"/>
    <x v="0"/>
    <d v="2020-01-29T00:00:00"/>
    <d v="2023-01-29T00:00:00"/>
    <m/>
    <m/>
    <x v="2"/>
    <x v="0"/>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x v="0"/>
    <n v="0"/>
    <n v="0"/>
    <n v="0"/>
    <n v="0"/>
    <n v="0"/>
    <n v="0"/>
    <m/>
    <m/>
    <m/>
    <m/>
    <m/>
    <n v="0"/>
    <n v="516497"/>
    <n v="173537"/>
    <s v="Twickenham Riverside"/>
  </r>
  <r>
    <s v="19/3101/GPD23"/>
    <x v="1"/>
    <x v="1"/>
    <d v="2019-11-18T00:00:00"/>
    <d v="2022-11-18T00:00:00"/>
    <m/>
    <m/>
    <x v="2"/>
    <x v="0"/>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x v="0"/>
    <n v="0"/>
    <n v="0"/>
    <n v="0.25"/>
    <n v="0.25"/>
    <n v="0.25"/>
    <n v="0.25"/>
    <m/>
    <m/>
    <m/>
    <m/>
    <m/>
    <n v="1"/>
    <n v="515035"/>
    <n v="171569"/>
    <s v="Fulwell and Hampton Hill"/>
  </r>
  <r>
    <s v="19/3419/FUL"/>
    <x v="0"/>
    <x v="0"/>
    <d v="2020-03-11T00:00:00"/>
    <d v="2023-03-11T00:00:00"/>
    <m/>
    <m/>
    <x v="2"/>
    <x v="0"/>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x v="0"/>
    <n v="0"/>
    <n v="0"/>
    <n v="0"/>
    <n v="0"/>
    <n v="0"/>
    <n v="0"/>
    <m/>
    <m/>
    <m/>
    <m/>
    <m/>
    <n v="0"/>
    <n v="517948"/>
    <n v="172696"/>
    <s v="Ham, Petersham and Richmond Riverside"/>
  </r>
  <r>
    <s v="20/0136/FUL"/>
    <x v="0"/>
    <x v="0"/>
    <d v="2020-03-26T00:00:00"/>
    <d v="2021-12-21T00:00:00"/>
    <m/>
    <m/>
    <x v="2"/>
    <x v="0"/>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x v="0"/>
    <n v="0"/>
    <n v="0"/>
    <n v="0"/>
    <n v="0"/>
    <n v="0"/>
    <n v="0"/>
    <m/>
    <m/>
    <m/>
    <m/>
    <m/>
    <n v="0"/>
    <n v="521893"/>
    <n v="177129"/>
    <s v="Barnes"/>
  </r>
  <r>
    <s v="20/0373/PS192"/>
    <x v="1"/>
    <x v="1"/>
    <d v="2020-02-17T00:00:00"/>
    <d v="2020-02-18T00:00:00"/>
    <m/>
    <m/>
    <x v="2"/>
    <x v="0"/>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x v="0"/>
    <n v="0"/>
    <n v="0"/>
    <n v="0.5"/>
    <n v="0.5"/>
    <n v="0.5"/>
    <n v="0.5"/>
    <m/>
    <m/>
    <m/>
    <m/>
    <m/>
    <n v="2"/>
    <n v="520577"/>
    <n v="175397"/>
    <s v="East Sheen"/>
  </r>
  <r>
    <s v="Site Allocation"/>
    <x v="0"/>
    <x v="0"/>
    <m/>
    <m/>
    <m/>
    <m/>
    <x v="3"/>
    <x v="4"/>
    <m/>
    <m/>
    <s v="Sainsbury’s, Manor Road/Lower Richmond Road"/>
    <m/>
    <m/>
    <m/>
    <m/>
    <m/>
    <m/>
    <m/>
    <m/>
    <m/>
    <m/>
    <m/>
    <m/>
    <m/>
    <m/>
    <m/>
    <m/>
    <m/>
    <m/>
    <m/>
    <m/>
    <m/>
    <m/>
    <m/>
    <m/>
    <m/>
    <m/>
    <m/>
    <m/>
    <n v="0"/>
    <x v="0"/>
    <n v="0"/>
    <n v="0"/>
    <n v="0"/>
    <n v="0"/>
    <n v="0"/>
    <n v="0"/>
    <n v="50"/>
    <n v="50"/>
    <n v="50"/>
    <n v="50"/>
    <n v="50"/>
    <n v="250"/>
    <n v="519119"/>
    <n v="175570"/>
    <s v="Ham, Petersham and Richmond Riverside"/>
  </r>
  <r>
    <s v="Site Allocation"/>
    <x v="0"/>
    <x v="0"/>
    <m/>
    <m/>
    <m/>
    <m/>
    <x v="3"/>
    <x v="4"/>
    <m/>
    <m/>
    <s v="Ham Central"/>
    <m/>
    <m/>
    <m/>
    <m/>
    <m/>
    <m/>
    <m/>
    <m/>
    <m/>
    <m/>
    <m/>
    <m/>
    <m/>
    <m/>
    <m/>
    <m/>
    <m/>
    <m/>
    <m/>
    <m/>
    <m/>
    <m/>
    <m/>
    <m/>
    <m/>
    <m/>
    <m/>
    <m/>
    <n v="0"/>
    <x v="0"/>
    <n v="0"/>
    <n v="0"/>
    <n v="0"/>
    <n v="0"/>
    <n v="0"/>
    <n v="0"/>
    <n v="50"/>
    <n v="50"/>
    <n v="50"/>
    <n v="50"/>
    <n v="50"/>
    <n v="250"/>
    <n v="517177"/>
    <n v="172352"/>
    <s v="Ham, Petersham and Richmond Riversid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5">
  <r>
    <s v="10/0312/FUL"/>
    <x v="0"/>
    <m/>
    <d v="2010-06-15T00:00:00"/>
    <d v="2013-06-15T00:00:00"/>
    <d v="2013-06-15T00:00:00"/>
    <d v="2019-10-03T00:00:00"/>
    <x v="0"/>
    <s v="Open Market"/>
    <m/>
    <s v="Construction of three bedroom house and associated landscaping"/>
    <s v="72 Stanley Road_x000d_Teddington_x000d__x000d_"/>
    <m/>
    <m/>
    <m/>
    <m/>
    <m/>
    <m/>
    <m/>
    <m/>
    <m/>
    <n v="0"/>
    <m/>
    <m/>
    <m/>
    <n v="1"/>
    <m/>
    <m/>
    <m/>
    <m/>
    <m/>
    <n v="1"/>
    <n v="0"/>
    <n v="0"/>
    <n v="1"/>
    <n v="0"/>
    <n v="0"/>
    <n v="0"/>
    <n v="0"/>
    <n v="0"/>
    <n v="1"/>
    <m/>
    <n v="1"/>
    <n v="0"/>
    <n v="0"/>
    <n v="0"/>
    <n v="0"/>
    <n v="0"/>
    <m/>
    <m/>
    <m/>
    <m/>
    <m/>
    <n v="0"/>
    <n v="515372"/>
    <n v="171266"/>
    <s v="Teddington"/>
  </r>
  <r>
    <s v="11/1443/FUL"/>
    <x v="0"/>
    <m/>
    <d v="2012-03-30T00:00:00"/>
    <d v="2015-03-30T00:00:00"/>
    <d v="2015-03-14T00:00:00"/>
    <d v="2020-01-31T00:00:00"/>
    <x v="0"/>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s v="St. Margarets and North Twickenham"/>
  </r>
  <r>
    <s v="11/2882/FUL"/>
    <x v="1"/>
    <m/>
    <d v="2012-09-10T00:00:00"/>
    <d v="2015-09-10T00:00:00"/>
    <d v="2015-09-09T00:00:00"/>
    <d v="2020-03-18T00:00:00"/>
    <x v="0"/>
    <s v="Open Market"/>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s v="West Twickenham"/>
  </r>
  <r>
    <s v="13/2163/FUL"/>
    <x v="2"/>
    <m/>
    <d v="2013-10-25T00:00:00"/>
    <d v="2016-10-28T00:00:00"/>
    <d v="2016-09-01T00:00:00"/>
    <d v="2019-08-14T00:00:00"/>
    <x v="0"/>
    <s v="Open Market"/>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s v="Hampton Wick"/>
  </r>
  <r>
    <s v="14/3983/FUL"/>
    <x v="0"/>
    <m/>
    <d v="2015-05-15T00:00:00"/>
    <d v="2019-03-18T00:00:00"/>
    <d v="2017-04-14T00:00:00"/>
    <d v="2020-03-31T00:00:00"/>
    <x v="0"/>
    <s v="Open Market"/>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s v="South Richmond"/>
  </r>
  <r>
    <s v="14/4464/P3JPA"/>
    <x v="1"/>
    <s v="PA"/>
    <d v="2015-01-05T00:00:00"/>
    <d v="2020-07-21T00:00:00"/>
    <d v="2018-02-01T00:00:00"/>
    <d v="2019-10-11T00:00:00"/>
    <x v="0"/>
    <s v="Open Market"/>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s v="South Twickenham"/>
  </r>
  <r>
    <s v="14/4721/FUL"/>
    <x v="0"/>
    <m/>
    <d v="2015-07-30T00:00:00"/>
    <d v="2018-07-30T00:00:00"/>
    <d v="2018-06-25T00:00:00"/>
    <d v="2020-02-19T00:00:00"/>
    <x v="0"/>
    <s v="Open Market"/>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s v="Mortlake and Barnes Common"/>
  </r>
  <r>
    <s v="14/4793/FUL"/>
    <x v="3"/>
    <m/>
    <d v="2016-11-11T00:00:00"/>
    <d v="2019-11-11T00:00:00"/>
    <d v="2018-01-14T00:00:00"/>
    <d v="2019-11-20T00:00:00"/>
    <x v="0"/>
    <s v="Open Market"/>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s v="East Sheen"/>
  </r>
  <r>
    <s v="14/5364/P3JPA"/>
    <x v="1"/>
    <s v="PA"/>
    <d v="2015-03-03T00:00:00"/>
    <d v="2020-03-03T00:00:00"/>
    <d v="2016-03-01T00:00:00"/>
    <d v="2019-05-31T00:00:00"/>
    <x v="0"/>
    <s v="Open Market"/>
    <m/>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s v="Hampton"/>
  </r>
  <r>
    <s v="15/0160/FUL"/>
    <x v="0"/>
    <m/>
    <d v="2016-02-05T00:00:00"/>
    <d v="2019-02-05T00:00:00"/>
    <d v="2017-10-02T00:00:00"/>
    <d v="2019-05-20T00:00:00"/>
    <x v="0"/>
    <s v="Open Market"/>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s v="Teddington"/>
  </r>
  <r>
    <s v="15/0421/FUL"/>
    <x v="2"/>
    <m/>
    <d v="2016-08-04T00:00:00"/>
    <d v="2019-08-04T00:00:00"/>
    <d v="2018-03-01T00:00:00"/>
    <d v="2019-09-06T00:00:00"/>
    <x v="0"/>
    <s v="Open Market"/>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s v="South Richmond"/>
  </r>
  <r>
    <s v="15/1440/FUL"/>
    <x v="0"/>
    <m/>
    <d v="2018-09-28T00:00:00"/>
    <d v="2021-10-01T00:00:00"/>
    <d v="2019-02-01T00:00:00"/>
    <d v="2020-03-09T00:00:00"/>
    <x v="0"/>
    <s v="Open Market"/>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s v="West Twickenham"/>
  </r>
  <r>
    <s v="15/1638/FUL"/>
    <x v="0"/>
    <m/>
    <d v="2016-08-23T00:00:00"/>
    <d v="2020-06-22T00:00:00"/>
    <d v="2018-02-01T00:00:00"/>
    <d v="2019-10-21T00:00:00"/>
    <x v="0"/>
    <s v="Open Market"/>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s v="St. Margarets and North Twickenham"/>
  </r>
  <r>
    <s v="15/2440/VRC"/>
    <x v="0"/>
    <m/>
    <d v="2015-08-04T00:00:00"/>
    <d v="2018-08-04T00:00:00"/>
    <d v="2018-04-01T00:00:00"/>
    <d v="2019-10-18T00:00:00"/>
    <x v="0"/>
    <s v="Open Market"/>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s v="Kew"/>
  </r>
  <r>
    <s v="15/2452/FUL"/>
    <x v="0"/>
    <m/>
    <d v="2015-07-27T00:00:00"/>
    <d v="2018-07-27T00:00:00"/>
    <d v="2016-05-12T00:00:00"/>
    <d v="2019-08-28T00:00:00"/>
    <x v="0"/>
    <s v="Open Market"/>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s v="Twickenham Riverside"/>
  </r>
  <r>
    <s v="15/3183/FUL"/>
    <x v="2"/>
    <m/>
    <d v="2015-12-29T00:00:00"/>
    <d v="2018-12-30T00:00:00"/>
    <d v="2018-12-03T00:00:00"/>
    <d v="2019-07-01T00:00:00"/>
    <x v="0"/>
    <s v="Open Market"/>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s v="Fulwell and Hampton Hill"/>
  </r>
  <r>
    <s v="15/4230/FUL"/>
    <x v="4"/>
    <m/>
    <d v="2016-06-02T00:00:00"/>
    <d v="2019-06-02T00:00:00"/>
    <d v="2017-06-05T00:00:00"/>
    <d v="2019-08-29T00:00:00"/>
    <x v="0"/>
    <s v="Open Market"/>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s v="Twickenham Riverside"/>
  </r>
  <r>
    <s v="15/4281/GPD15"/>
    <x v="1"/>
    <s v="PA"/>
    <d v="2015-12-08T00:00:00"/>
    <d v="2020-12-09T00:00:00"/>
    <m/>
    <d v="2019-04-01T00:00:00"/>
    <x v="0"/>
    <s v="Open Market"/>
    <m/>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s v="Hampton Wick"/>
  </r>
  <r>
    <s v="15/4835/FUL"/>
    <x v="0"/>
    <m/>
    <d v="2016-09-06T00:00:00"/>
    <d v="2019-09-07T00:00:00"/>
    <m/>
    <d v="2019-07-31T00:00:00"/>
    <x v="0"/>
    <s v="Open Market"/>
    <m/>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s v="Fulwell and Hampton Hill"/>
  </r>
  <r>
    <s v="15/5216/FUL"/>
    <x v="0"/>
    <m/>
    <d v="2016-09-08T00:00:00"/>
    <d v="2019-10-21T00:00:00"/>
    <d v="2017-11-01T00:00:00"/>
    <d v="2019-06-30T00:00:00"/>
    <x v="0"/>
    <s v="Affordable Rent"/>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s v="Hampton Wick"/>
  </r>
  <r>
    <s v="15/5369/FUL"/>
    <x v="0"/>
    <m/>
    <d v="2016-06-15T00:00:00"/>
    <d v="2019-06-17T00:00:00"/>
    <m/>
    <d v="2019-07-30T00:00:00"/>
    <x v="0"/>
    <s v="Open Market"/>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s v="Hampton"/>
  </r>
  <r>
    <s v="16/0234/FUL"/>
    <x v="0"/>
    <m/>
    <d v="2016-10-14T00:00:00"/>
    <d v="2019-10-14T00:00:00"/>
    <d v="2017-12-01T00:00:00"/>
    <d v="2019-07-19T00:00:00"/>
    <x v="0"/>
    <s v="Open Market"/>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s v="South Twickenham"/>
  </r>
  <r>
    <s v="16/1293/FUL"/>
    <x v="4"/>
    <m/>
    <d v="2017-11-20T00:00:00"/>
    <d v="2020-11-21T00:00:00"/>
    <d v="2018-02-01T00:00:00"/>
    <d v="2019-10-11T00:00:00"/>
    <x v="0"/>
    <s v="Open Market"/>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s v="South Twickenham"/>
  </r>
  <r>
    <s v="16/1344/FUL"/>
    <x v="1"/>
    <m/>
    <d v="2017-05-18T00:00:00"/>
    <d v="2020-05-18T00:00:00"/>
    <d v="2018-01-08T00:00:00"/>
    <d v="2019-09-03T00:00:00"/>
    <x v="0"/>
    <s v="Open Market"/>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s v="St. Margarets and North Twickenham"/>
  </r>
  <r>
    <s v="16/1729/FUL"/>
    <x v="3"/>
    <m/>
    <d v="2017-01-16T00:00:00"/>
    <d v="2020-05-03T00:00:00"/>
    <d v="2018-02-01T00:00:00"/>
    <d v="2019-08-01T00:00:00"/>
    <x v="0"/>
    <s v="Open Market"/>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s v="Hampton"/>
  </r>
  <r>
    <s v="16/1935/GPD15"/>
    <x v="1"/>
    <s v="PA"/>
    <d v="2016-07-04T00:00:00"/>
    <d v="2019-07-19T00:00:00"/>
    <d v="2018-10-01T00:00:00"/>
    <d v="2019-09-30T00:00:00"/>
    <x v="0"/>
    <s v="Open Market"/>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s v="Fulwell and Hampton Hill"/>
  </r>
  <r>
    <s v="16/2042/FUL"/>
    <x v="2"/>
    <m/>
    <d v="2018-10-19T00:00:00"/>
    <d v="2021-10-19T00:00:00"/>
    <d v="2019-03-01T00:00:00"/>
    <d v="2020-03-02T00:00:00"/>
    <x v="0"/>
    <s v="Open Market"/>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s v="St. Margarets and North Twickenham"/>
  </r>
  <r>
    <s v="16/2158/FUL"/>
    <x v="2"/>
    <m/>
    <d v="2016-08-05T00:00:00"/>
    <d v="2019-08-05T00:00:00"/>
    <d v="2016-09-29T00:00:00"/>
    <d v="2020-03-31T00:00:00"/>
    <x v="0"/>
    <s v="Open Market"/>
    <m/>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s v="St. Margarets and North Twickenham"/>
  </r>
  <r>
    <s v="16/2348/FUL"/>
    <x v="0"/>
    <m/>
    <d v="2016-11-30T00:00:00"/>
    <d v="2019-11-30T00:00:00"/>
    <d v="2018-04-25T00:00:00"/>
    <d v="2020-03-31T00:00:00"/>
    <x v="0"/>
    <s v="Open Market"/>
    <m/>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s v="North Richmond"/>
  </r>
  <r>
    <s v="16/2502/FUL"/>
    <x v="0"/>
    <m/>
    <d v="2017-03-16T00:00:00"/>
    <d v="2020-03-17T00:00:00"/>
    <d v="2018-02-01T00:00:00"/>
    <d v="2019-09-27T00:00:00"/>
    <x v="0"/>
    <s v="Open Market"/>
    <m/>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s v="South Twickenham"/>
  </r>
  <r>
    <s v="16/2975/GPD15"/>
    <x v="1"/>
    <s v="PA"/>
    <d v="2016-09-14T00:00:00"/>
    <d v="2019-09-14T00:00:00"/>
    <d v="2019-01-09T00:00:00"/>
    <d v="2019-12-23T00:00:00"/>
    <x v="0"/>
    <s v="Open Market"/>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s v="Twickenham Riverside"/>
  </r>
  <r>
    <s v="16/3210/GPD15"/>
    <x v="1"/>
    <s v="PA"/>
    <d v="2016-09-30T00:00:00"/>
    <d v="2019-09-30T00:00:00"/>
    <d v="2019-04-02T00:00:00"/>
    <d v="2020-02-11T00:00:00"/>
    <x v="0"/>
    <s v="Open Market"/>
    <m/>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s v="Whitton"/>
  </r>
  <r>
    <s v="16/3247/FUL"/>
    <x v="0"/>
    <m/>
    <d v="2017-07-14T00:00:00"/>
    <d v="2020-10-31T00:00:00"/>
    <d v="2018-10-01T00:00:00"/>
    <d v="2020-01-21T00:00:00"/>
    <x v="0"/>
    <s v="Open Market"/>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s v="Heathfield"/>
  </r>
  <r>
    <s v="16/3485/FUL"/>
    <x v="2"/>
    <m/>
    <d v="2017-10-30T00:00:00"/>
    <d v="2020-10-30T00:00:00"/>
    <d v="2020-01-10T00:00:00"/>
    <d v="2019-07-01T00:00:00"/>
    <x v="0"/>
    <s v="Open Market"/>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s v="Fulwell and Hampton Hill"/>
  </r>
  <r>
    <s v="16/3552/FUL"/>
    <x v="3"/>
    <m/>
    <d v="2018-04-24T00:00:00"/>
    <d v="2021-04-24T00:00:00"/>
    <d v="2018-04-25T00:00:00"/>
    <d v="2020-03-30T00:00:00"/>
    <x v="0"/>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s v="Ham, Petersham and Richmond Riverside"/>
  </r>
  <r>
    <s v="16/3685/FUL"/>
    <x v="3"/>
    <m/>
    <d v="2016-11-16T00:00:00"/>
    <d v="2021-02-15T00:00:00"/>
    <d v="2018-06-22T00:00:00"/>
    <d v="2019-08-31T00:00:00"/>
    <x v="0"/>
    <s v="Open Market"/>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s v="St. Margarets and North Twickenham"/>
  </r>
  <r>
    <s v="16/4193/FUL"/>
    <x v="0"/>
    <m/>
    <d v="2017-07-19T00:00:00"/>
    <d v="2020-07-19T00:00:00"/>
    <m/>
    <d v="2019-11-13T00:00:00"/>
    <x v="0"/>
    <s v="Open Market"/>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s v="Hampton North"/>
  </r>
  <r>
    <s v="17/0164/GPD15"/>
    <x v="1"/>
    <s v="PA"/>
    <d v="2017-03-10T00:00:00"/>
    <d v="2020-03-10T00:00:00"/>
    <d v="2018-10-01T00:00:00"/>
    <d v="2019-04-24T00:00:00"/>
    <x v="0"/>
    <s v="Open Market"/>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s v="Twickenham Riverside"/>
  </r>
  <r>
    <s v="17/0396/FUL"/>
    <x v="0"/>
    <m/>
    <d v="2017-06-05T00:00:00"/>
    <d v="2020-06-05T00:00:00"/>
    <d v="2019-02-01T00:00:00"/>
    <d v="2020-03-23T00:00:00"/>
    <x v="0"/>
    <s v="Affordable Rent"/>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s v="Ham, Petersham and Richmond Riverside"/>
  </r>
  <r>
    <s v="17/0460/FUL"/>
    <x v="2"/>
    <m/>
    <d v="2017-07-14T00:00:00"/>
    <d v="2020-07-14T00:00:00"/>
    <m/>
    <d v="2020-03-31T00:00:00"/>
    <x v="0"/>
    <s v="Open Market"/>
    <m/>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s v="Barnes"/>
  </r>
  <r>
    <s v="17/0733/FUL"/>
    <x v="2"/>
    <m/>
    <d v="2017-09-13T00:00:00"/>
    <d v="2020-09-13T00:00:00"/>
    <d v="2019-10-31T00:00:00"/>
    <d v="2020-03-18T00:00:00"/>
    <x v="0"/>
    <s v="Open Market"/>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s v="East Sheen"/>
  </r>
  <r>
    <s v="17/0956/FUL"/>
    <x v="0"/>
    <m/>
    <d v="2017-09-14T00:00:00"/>
    <d v="2020-09-14T00:00:00"/>
    <d v="2019-01-14T00:00:00"/>
    <d v="2020-02-20T00:00:00"/>
    <x v="0"/>
    <s v="Open Market"/>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s v="Barnes"/>
  </r>
  <r>
    <s v="17/1207/FUL"/>
    <x v="0"/>
    <m/>
    <d v="2017-10-24T00:00:00"/>
    <d v="2020-10-24T00:00:00"/>
    <d v="2018-10-01T00:00:00"/>
    <d v="2019-11-18T00:00:00"/>
    <x v="0"/>
    <s v="Open Market"/>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s v="Kew"/>
  </r>
  <r>
    <s v="17/1286/VRC"/>
    <x v="0"/>
    <m/>
    <d v="2017-10-05T00:00:00"/>
    <d v="2017-12-09T00:00:00"/>
    <d v="2017-10-05T00:00:00"/>
    <d v="2019-08-19T00:00:00"/>
    <x v="0"/>
    <s v="Affordable Rent"/>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s v="Teddington"/>
  </r>
  <r>
    <s v="17/1286/VRC"/>
    <x v="0"/>
    <m/>
    <d v="2017-10-05T00:00:00"/>
    <d v="2017-12-09T00:00:00"/>
    <d v="2017-10-05T00:00:00"/>
    <d v="2019-12-0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s v="Teddington"/>
  </r>
  <r>
    <s v="17/1286/VRC"/>
    <x v="0"/>
    <m/>
    <d v="2017-10-05T00:00:00"/>
    <d v="2017-12-09T00:00:00"/>
    <d v="2017-10-05T00:00:00"/>
    <d v="2019-04-2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s v="Teddington"/>
  </r>
  <r>
    <s v="17/1621/FUL"/>
    <x v="1"/>
    <m/>
    <d v="2017-10-09T00:00:00"/>
    <d v="2021-04-03T00:00:00"/>
    <d v="2019-09-05T00:00:00"/>
    <d v="2019-10-29T00:00:00"/>
    <x v="0"/>
    <s v="Open Market"/>
    <m/>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s v="South Richmond"/>
  </r>
  <r>
    <s v="17/2534/FUL"/>
    <x v="2"/>
    <m/>
    <d v="2018-02-22T00:00:00"/>
    <d v="2021-02-22T00:00:00"/>
    <d v="2019-03-01T00:00:00"/>
    <d v="2020-03-25T00:00:00"/>
    <x v="0"/>
    <s v="Open Market"/>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s v="South Richmond"/>
  </r>
  <r>
    <s v="17/2779/NMA"/>
    <x v="0"/>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s v="Ham, Petersham and Richmond Riverside"/>
  </r>
  <r>
    <s v="17/2779/NMA"/>
    <x v="0"/>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s v="Ham, Petersham and Richmond Riverside"/>
  </r>
  <r>
    <s v="17/2995/FUL"/>
    <x v="1"/>
    <m/>
    <d v="2018-04-24T00:00:00"/>
    <d v="2021-04-24T00:00:00"/>
    <d v="2019-01-31T00:00:00"/>
    <d v="2019-04-10T00:00:00"/>
    <x v="0"/>
    <s v="Open Market"/>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s v="North Richmond"/>
  </r>
  <r>
    <s v="17/3132/FUL"/>
    <x v="0"/>
    <m/>
    <d v="2018-10-16T00:00:00"/>
    <d v="2021-10-16T00:00:00"/>
    <d v="2019-02-05T00:00:00"/>
    <d v="2020-03-31T00:00:00"/>
    <x v="0"/>
    <s v="Open Market"/>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s v="Twickenham Riverside"/>
  </r>
  <r>
    <s v="17/3347/FUL"/>
    <x v="0"/>
    <m/>
    <d v="2018-07-25T00:00:00"/>
    <d v="2021-07-25T00:00:00"/>
    <d v="2018-11-01T00:00:00"/>
    <d v="2019-12-02T00:00:00"/>
    <x v="0"/>
    <s v="Open Market"/>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s v="Mortlake and Barnes Common"/>
  </r>
  <r>
    <s v="17/3591/FUL"/>
    <x v="2"/>
    <m/>
    <d v="2018-10-12T00:00:00"/>
    <d v="2021-10-12T00:00:00"/>
    <m/>
    <d v="2020-03-31T00:00:00"/>
    <x v="0"/>
    <s v="Open Market"/>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s v="Whitton"/>
  </r>
  <r>
    <s v="17/4238/FUL"/>
    <x v="0"/>
    <m/>
    <d v="2018-02-23T00:00:00"/>
    <d v="2021-02-26T00:00:00"/>
    <d v="2019-02-13T00:00:00"/>
    <d v="2019-10-30T00:00:00"/>
    <x v="0"/>
    <s v="Open Market"/>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s v="Teddington"/>
  </r>
  <r>
    <s v="17/4606/FUL"/>
    <x v="0"/>
    <m/>
    <d v="2018-05-04T00:00:00"/>
    <d v="2021-05-04T00:00:00"/>
    <d v="2018-06-01T00:00:00"/>
    <d v="2019-05-31T00:00:00"/>
    <x v="0"/>
    <s v="Open Market"/>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s v="Ham, Petersham and Richmond Riverside"/>
  </r>
  <r>
    <s v="18/0318/FUL"/>
    <x v="2"/>
    <m/>
    <d v="2018-10-09T00:00:00"/>
    <d v="2021-10-09T00:00:00"/>
    <d v="2018-11-01T00:00:00"/>
    <d v="2020-03-18T00:00:00"/>
    <x v="0"/>
    <s v="Open Market"/>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s v="West Twickenham"/>
  </r>
  <r>
    <s v="18/0433/FUL"/>
    <x v="1"/>
    <m/>
    <d v="2018-07-24T00:00:00"/>
    <d v="2021-07-24T00:00:00"/>
    <d v="2019-05-01T00:00:00"/>
    <d v="2019-09-14T00:00:00"/>
    <x v="0"/>
    <s v="Open Market"/>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s v="St. Margarets and North Twickenham"/>
  </r>
  <r>
    <s v="18/0665/FUL"/>
    <x v="0"/>
    <m/>
    <d v="2018-09-20T00:00:00"/>
    <d v="2021-09-20T00:00:00"/>
    <d v="2018-04-09T00:00:00"/>
    <d v="2019-08-01T00:00:00"/>
    <x v="0"/>
    <s v="Open Market"/>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s v="South Twickenham"/>
  </r>
  <r>
    <s v="18/0737/FUL"/>
    <x v="1"/>
    <m/>
    <d v="2018-12-12T00:00:00"/>
    <d v="2021-12-13T00:00:00"/>
    <d v="2019-01-08T00:00:00"/>
    <d v="2020-02-07T00:00:00"/>
    <x v="0"/>
    <s v="Open Market"/>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s v="Mortlake and Barnes Common"/>
  </r>
  <r>
    <s v="18/0743/FUL"/>
    <x v="0"/>
    <m/>
    <d v="2018-08-23T00:00:00"/>
    <d v="2021-08-23T00:00:00"/>
    <m/>
    <d v="2019-05-28T00:00:00"/>
    <x v="0"/>
    <s v="Open Market"/>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s v="West Twickenham"/>
  </r>
  <r>
    <s v="18/0745/FUL"/>
    <x v="2"/>
    <m/>
    <d v="2018-07-06T00:00:00"/>
    <d v="2021-07-06T00:00:00"/>
    <d v="2018-10-01T00:00:00"/>
    <d v="2019-10-15T00:00:00"/>
    <x v="0"/>
    <s v="Open Market"/>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s v="Teddington"/>
  </r>
  <r>
    <s v="18/0860/GPD15"/>
    <x v="1"/>
    <s v="PA"/>
    <d v="2018-05-08T00:00:00"/>
    <d v="2021-05-08T00:00:00"/>
    <m/>
    <d v="2019-06-14T00:00:00"/>
    <x v="0"/>
    <s v="Open Market"/>
    <m/>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s v="Teddington"/>
  </r>
  <r>
    <s v="18/1175/FUL"/>
    <x v="4"/>
    <m/>
    <d v="2018-10-05T00:00:00"/>
    <d v="2021-10-05T00:00:00"/>
    <d v="2019-05-17T00:00:00"/>
    <d v="2019-09-10T00:00:00"/>
    <x v="0"/>
    <s v="Open Market"/>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s v="North Richmond"/>
  </r>
  <r>
    <s v="18/1360/GPD15"/>
    <x v="1"/>
    <s v="PA"/>
    <d v="2018-06-15T00:00:00"/>
    <d v="2021-06-15T00:00:00"/>
    <d v="2019-05-03T00:00:00"/>
    <d v="2019-09-12T00:00:00"/>
    <x v="0"/>
    <s v="Open Market"/>
    <m/>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s v="East Sheen"/>
  </r>
  <r>
    <s v="18/1566/FUL"/>
    <x v="2"/>
    <m/>
    <d v="2018-09-25T00:00:00"/>
    <d v="2021-09-25T00:00:00"/>
    <d v="2019-01-31T00:00:00"/>
    <d v="2019-10-10T00:00:00"/>
    <x v="0"/>
    <s v="Open Market"/>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s v="St. Margarets and North Twickenham"/>
  </r>
  <r>
    <s v="18/1569/FUL"/>
    <x v="2"/>
    <m/>
    <d v="2018-08-17T00:00:00"/>
    <d v="2022-03-11T00:00:00"/>
    <d v="2019-03-31T00:00:00"/>
    <d v="2019-05-31T00:00:00"/>
    <x v="0"/>
    <s v="Open Market"/>
    <m/>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s v="Twickenham Riverside"/>
  </r>
  <r>
    <s v="18/1722/GPD13"/>
    <x v="1"/>
    <s v="PA"/>
    <d v="2018-07-12T00:00:00"/>
    <d v="2021-07-12T00:00:00"/>
    <d v="2018-04-02T00:00:00"/>
    <d v="2019-10-14T00:00:00"/>
    <x v="0"/>
    <s v="Open Market"/>
    <m/>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s v="Fulwell and Hampton Hill"/>
  </r>
  <r>
    <s v="18/1817/GPD15"/>
    <x v="1"/>
    <s v="PA"/>
    <d v="2018-06-29T00:00:00"/>
    <d v="2021-06-29T00:00:00"/>
    <m/>
    <d v="2020-02-21T00:00:00"/>
    <x v="0"/>
    <s v="Open Market"/>
    <m/>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s v="Fulwell and Hampton Hill"/>
  </r>
  <r>
    <s v="18/2296/ES191"/>
    <x v="2"/>
    <m/>
    <d v="2018-08-20T00:00:00"/>
    <d v="2019-11-29T00:00:00"/>
    <m/>
    <d v="2019-11-29T00:00:00"/>
    <x v="0"/>
    <s v="Open Market"/>
    <m/>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s v="Heathfield"/>
  </r>
  <r>
    <s v="18/2620/FUL"/>
    <x v="4"/>
    <m/>
    <d v="2019-01-04T00:00:00"/>
    <d v="2022-01-04T00:00:00"/>
    <d v="2018-04-02T00:00:00"/>
    <d v="2019-12-02T00:00:00"/>
    <x v="0"/>
    <s v="Open Market"/>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s v="Fulwell and Hampton Hill"/>
  </r>
  <r>
    <s v="19/0141/ES191"/>
    <x v="1"/>
    <m/>
    <d v="2019-06-21T00:00:00"/>
    <d v="2019-06-21T00:00:00"/>
    <d v="2019-06-21T00:00:00"/>
    <d v="2019-06-21T00:00:00"/>
    <x v="0"/>
    <s v="Open Market"/>
    <m/>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s v="St. Margarets and North Twickenham"/>
  </r>
  <r>
    <s v="19/0475/FUL"/>
    <x v="3"/>
    <m/>
    <d v="2019-07-31T00:00:00"/>
    <d v="2022-07-31T00:00:00"/>
    <m/>
    <d v="2020-02-26T00:00:00"/>
    <x v="0"/>
    <s v="Open Market"/>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s v="Fulwell and Hampton Hill"/>
  </r>
  <r>
    <s v="19/0739/FUL"/>
    <x v="2"/>
    <m/>
    <d v="2019-10-23T00:00:00"/>
    <d v="2022-10-23T00:00:00"/>
    <m/>
    <d v="2019-10-23T00:00:00"/>
    <x v="0"/>
    <s v="Open Market"/>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s v="Kew"/>
  </r>
  <r>
    <s v="19/1100/FUL"/>
    <x v="1"/>
    <m/>
    <d v="2019-10-10T00:00:00"/>
    <d v="2022-10-10T00:00:00"/>
    <d v="2019-10-01T00:00:00"/>
    <d v="2020-01-31T00:00:00"/>
    <x v="0"/>
    <s v="Open Market"/>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s v="St. Margarets and North Twickenham"/>
  </r>
  <r>
    <s v="19/1217/ES191"/>
    <x v="2"/>
    <m/>
    <d v="2019-06-11T00:00:00"/>
    <d v="2019-06-11T00:00:00"/>
    <d v="2019-06-11T00:00:00"/>
    <d v="2019-06-11T00:00:00"/>
    <x v="0"/>
    <s v="Open Market"/>
    <m/>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s v="Twickenham Riverside"/>
  </r>
  <r>
    <s v="19/2022/ES191"/>
    <x v="2"/>
    <m/>
    <d v="2019-09-16T00:00:00"/>
    <d v="2022-09-17T00:00:00"/>
    <m/>
    <d v="2019-09-17T00:00:00"/>
    <x v="0"/>
    <s v="Open Market"/>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s v="Teddington"/>
  </r>
  <r>
    <s v="19/2544/FUL"/>
    <x v="1"/>
    <m/>
    <d v="2019-12-10T00:00:00"/>
    <d v="2022-12-10T00:00:00"/>
    <m/>
    <d v="2019-12-14T00:00:00"/>
    <x v="0"/>
    <s v="Open Market"/>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s v="Hampton North"/>
  </r>
  <r>
    <s v="19/3241/FUL"/>
    <x v="4"/>
    <m/>
    <d v="2020-03-13T00:00:00"/>
    <d v="2023-03-16T00:00:00"/>
    <d v="2020-03-16T00:00:00"/>
    <d v="2020-03-16T00:00:00"/>
    <x v="0"/>
    <s v="Open Market"/>
    <m/>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s v="West Twickenham"/>
  </r>
  <r>
    <s v="19/3586/ES191"/>
    <x v="1"/>
    <m/>
    <d v="2020-01-20T00:00:00"/>
    <d v="2020-01-20T00:00:00"/>
    <m/>
    <d v="2020-01-20T00:00:00"/>
    <x v="0"/>
    <s v="Open Market"/>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s v="Heathfield"/>
  </r>
  <r>
    <s v="19/3757/ES191"/>
    <x v="2"/>
    <m/>
    <d v="2020-01-31T00:00:00"/>
    <d v="2020-01-31T00:00:00"/>
    <m/>
    <d v="2020-01-31T00:00:00"/>
    <x v="0"/>
    <s v="Open Market"/>
    <m/>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s v="Twickenham Riverside"/>
  </r>
  <r>
    <s v="19/3854/ES191"/>
    <x v="1"/>
    <m/>
    <d v="2020-02-25T00:00:00"/>
    <d v="2020-02-25T00:00:00"/>
    <m/>
    <d v="2020-02-25T00:00:00"/>
    <x v="0"/>
    <s v="Open Market"/>
    <m/>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s v="Hampton"/>
  </r>
  <r>
    <s v="99/2063"/>
    <x v="0"/>
    <m/>
    <d v="2000-02-03T00:00:00"/>
    <d v="2005-02-03T00:00:00"/>
    <d v="2005-01-14T00:00:00"/>
    <d v="2019-07-18T00:00:00"/>
    <x v="0"/>
    <s v="Open Market"/>
    <m/>
    <s v="Proposed Dwelling House"/>
    <s v="6 Boileau Road Barnes"/>
    <m/>
    <m/>
    <m/>
    <m/>
    <m/>
    <m/>
    <m/>
    <m/>
    <m/>
    <n v="0"/>
    <m/>
    <n v="1"/>
    <m/>
    <m/>
    <m/>
    <m/>
    <m/>
    <m/>
    <n v="0"/>
    <n v="1"/>
    <n v="1"/>
    <n v="0"/>
    <n v="0"/>
    <n v="0"/>
    <n v="0"/>
    <n v="0"/>
    <n v="0"/>
    <n v="0"/>
    <n v="1"/>
    <m/>
    <n v="1"/>
    <n v="0"/>
    <n v="0"/>
    <n v="0"/>
    <n v="0"/>
    <n v="0"/>
    <m/>
    <m/>
    <m/>
    <m/>
    <m/>
    <n v="0"/>
    <n v="522457"/>
    <n v="177328"/>
    <s v="Barnes"/>
  </r>
  <r>
    <s v="13/0998/FUL"/>
    <x v="0"/>
    <m/>
    <d v="2013-11-05T00:00:00"/>
    <d v="2016-11-05T00:00:00"/>
    <d v="2016-08-14T00:00:00"/>
    <m/>
    <x v="1"/>
    <s v="Open Market"/>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s v="Fulwell and Hampton Hill"/>
  </r>
  <r>
    <s v="19/0637/FUL"/>
    <x v="0"/>
    <m/>
    <d v="2020-02-06T00:00:00"/>
    <d v="2023-02-06T00:00:00"/>
    <d v="2020-09-21T00:00:00"/>
    <m/>
    <x v="1"/>
    <s v="Open Market"/>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s v="Kew"/>
  </r>
  <r>
    <s v="19/2246/FUL"/>
    <x v="2"/>
    <m/>
    <d v="2019-10-22T00:00:00"/>
    <d v="2022-10-22T00:00:00"/>
    <m/>
    <d v="2020-06-15T00:00:00"/>
    <x v="1"/>
    <s v="Open Market"/>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s v="Teddington"/>
  </r>
  <r>
    <s v="07/3348/FUL"/>
    <x v="0"/>
    <m/>
    <d v="2008-04-01T00:00:00"/>
    <d v="2011-04-01T00:00:00"/>
    <d v="2012-08-17T00:00:00"/>
    <m/>
    <x v="1"/>
    <s v="Open Market"/>
    <m/>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s v="Ham, Petersham and Richmond Riverside"/>
  </r>
  <r>
    <s v="11/1443/FUL"/>
    <x v="0"/>
    <m/>
    <d v="2012-03-30T00:00:00"/>
    <d v="2015-03-30T00:00:00"/>
    <d v="2015-03-14T00:00:00"/>
    <m/>
    <x v="1"/>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s v="St. Margarets and North Twickenham"/>
  </r>
  <r>
    <s v="13/1327/FUL"/>
    <x v="1"/>
    <m/>
    <d v="2013-09-03T00:00:00"/>
    <d v="2016-09-03T00:00:00"/>
    <d v="2016-08-19T00:00:00"/>
    <m/>
    <x v="1"/>
    <s v="Open Market"/>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s v="Ham, Petersham and Richmond Riverside"/>
  </r>
  <r>
    <s v="14/2118/FUL"/>
    <x v="2"/>
    <m/>
    <d v="2014-07-18T00:00:00"/>
    <d v="2018-01-19T00:00:00"/>
    <d v="2017-10-01T00:00:00"/>
    <m/>
    <x v="1"/>
    <s v="Open Market"/>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s v="East Sheen"/>
  </r>
  <r>
    <s v="14/2257/FUL"/>
    <x v="3"/>
    <m/>
    <d v="2015-03-26T00:00:00"/>
    <d v="2018-03-27T00:00:00"/>
    <d v="2016-06-01T00:00:00"/>
    <m/>
    <x v="1"/>
    <s v="Open Market"/>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s v="Heathfield"/>
  </r>
  <r>
    <s v="14/2797/P3JPA"/>
    <x v="1"/>
    <s v="PA"/>
    <d v="2015-08-20T00:00:00"/>
    <d v="2017-11-27T00:00:00"/>
    <d v="2017-06-30T00:00:00"/>
    <m/>
    <x v="1"/>
    <s v="Open Market"/>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s v="South Twickenham"/>
  </r>
  <r>
    <s v="14/3011/FUL"/>
    <x v="1"/>
    <m/>
    <d v="2015-04-17T00:00:00"/>
    <d v="2018-04-20T00:00:00"/>
    <d v="2018-04-04T00:00:00"/>
    <m/>
    <x v="1"/>
    <s v="Open Market"/>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s v="Teddington"/>
  </r>
  <r>
    <s v="14/3780/FUL"/>
    <x v="3"/>
    <m/>
    <d v="2015-04-30T00:00:00"/>
    <d v="2018-04-30T00:00:00"/>
    <d v="2016-07-01T00:00:00"/>
    <m/>
    <x v="1"/>
    <s v="Open Market"/>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s v="South Richmond"/>
  </r>
  <r>
    <s v="14/4839/FUL"/>
    <x v="0"/>
    <m/>
    <d v="2016-07-14T00:00:00"/>
    <d v="2019-07-14T00:00:00"/>
    <d v="2019-06-01T00:00:00"/>
    <m/>
    <x v="1"/>
    <s v="Open Market"/>
    <m/>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s v="Twickenham Riverside"/>
  </r>
  <r>
    <s v="14/5284/FUL"/>
    <x v="2"/>
    <m/>
    <d v="2015-02-16T00:00:00"/>
    <d v="2018-02-16T00:00:00"/>
    <d v="2018-03-23T00:00:00"/>
    <m/>
    <x v="1"/>
    <s v="Open Market"/>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s v="South Richmond"/>
  </r>
  <r>
    <s v="14/5306/FUL"/>
    <x v="1"/>
    <m/>
    <d v="2015-06-22T00:00:00"/>
    <d v="2018-06-22T00:00:00"/>
    <d v="2017-05-01T00:00:00"/>
    <m/>
    <x v="1"/>
    <s v="Open Market"/>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s v="North Richmond"/>
  </r>
  <r>
    <s v="15/1486/FUL"/>
    <x v="0"/>
    <m/>
    <d v="2015-07-16T00:00:00"/>
    <d v="2018-07-16T00:00:00"/>
    <d v="2018-06-04T00:00:00"/>
    <m/>
    <x v="1"/>
    <s v="Open Market"/>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s v="Heathfield"/>
  </r>
  <r>
    <s v="15/2854/FUL"/>
    <x v="0"/>
    <m/>
    <d v="2016-06-02T00:00:00"/>
    <d v="2019-06-02T00:00:00"/>
    <d v="2019-05-01T00:00:00"/>
    <m/>
    <x v="1"/>
    <s v="Affordable Rent"/>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s v="Ham, Petersham and Richmond Riverside"/>
  </r>
  <r>
    <s v="15/2855/FUL"/>
    <x v="0"/>
    <m/>
    <d v="2016-06-02T00:00:00"/>
    <d v="2019-06-02T00:00:00"/>
    <d v="2019-05-28T00:00:00"/>
    <m/>
    <x v="1"/>
    <s v="Affordable Rent"/>
    <m/>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s v="Ham, Petersham and Richmond Riverside"/>
  </r>
  <r>
    <s v="15/2857/FUL"/>
    <x v="0"/>
    <m/>
    <d v="2016-11-17T00:00:00"/>
    <d v="2019-11-17T00:00:00"/>
    <d v="2019-10-16T00:00:00"/>
    <m/>
    <x v="1"/>
    <s v="Affordable Rent"/>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s v="Ham, Petersham and Richmond Riverside"/>
  </r>
  <r>
    <s v="15/3072/FUL"/>
    <x v="1"/>
    <m/>
    <d v="2016-10-07T00:00:00"/>
    <d v="2019-10-07T00:00:00"/>
    <d v="2018-03-01T00:00:00"/>
    <m/>
    <x v="1"/>
    <s v="Open Market"/>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s v="Teddington"/>
  </r>
  <r>
    <s v="15/3518/FUL"/>
    <x v="0"/>
    <m/>
    <d v="2019-03-08T00:00:00"/>
    <d v="2022-03-08T00:00:00"/>
    <d v="2019-10-01T00:00:00"/>
    <m/>
    <x v="1"/>
    <s v="Open Market"/>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s v="Twickenham Riverside"/>
  </r>
  <r>
    <s v="15/5217/NMA1"/>
    <x v="0"/>
    <m/>
    <d v="2019-10-11T00:00:00"/>
    <d v="2022-10-11T00:00:00"/>
    <d v="2019-10-16T00:00:00"/>
    <m/>
    <x v="1"/>
    <s v="Open Market"/>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s v="South Richmond"/>
  </r>
  <r>
    <s v="15/5351/FUL"/>
    <x v="0"/>
    <m/>
    <d v="2017-04-06T00:00:00"/>
    <d v="2020-04-07T00:00:00"/>
    <d v="2020-02-23T00:00:00"/>
    <m/>
    <x v="1"/>
    <s v="Open Market"/>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s v="West Twickenham"/>
  </r>
  <r>
    <s v="16/0058/FUL"/>
    <x v="1"/>
    <m/>
    <d v="2016-07-14T00:00:00"/>
    <d v="2019-07-14T00:00:00"/>
    <d v="2019-07-10T00:00:00"/>
    <m/>
    <x v="1"/>
    <s v="Open Market"/>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s v="South Richmond"/>
  </r>
  <r>
    <s v="16/0432/FUL"/>
    <x v="0"/>
    <m/>
    <d v="2016-08-31T00:00:00"/>
    <d v="2019-08-31T00:00:00"/>
    <d v="2017-05-09T00:00:00"/>
    <m/>
    <x v="1"/>
    <s v="Open Market"/>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s v="Barnes"/>
  </r>
  <r>
    <s v="16/0680/FUL"/>
    <x v="4"/>
    <m/>
    <d v="2016-04-19T00:00:00"/>
    <d v="2019-04-19T00:00:00"/>
    <d v="2016-07-01T00:00:00"/>
    <m/>
    <x v="1"/>
    <s v="Open Market"/>
    <m/>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s v="East Sheen"/>
  </r>
  <r>
    <s v="16/0905/FUL"/>
    <x v="0"/>
    <m/>
    <d v="2017-02-23T00:00:00"/>
    <d v="2020-02-23T00:00:00"/>
    <d v="2020-02-19T00:00:00"/>
    <m/>
    <x v="1"/>
    <s v="Open Market"/>
    <m/>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s v="Kew"/>
  </r>
  <r>
    <s v="16/1145/FUL"/>
    <x v="2"/>
    <m/>
    <d v="2016-12-15T00:00:00"/>
    <d v="2019-12-15T00:00:00"/>
    <d v="2019-02-01T00:00:00"/>
    <m/>
    <x v="1"/>
    <s v="Open Market"/>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s v="Hampton Wick"/>
  </r>
  <r>
    <s v="16/1373/FUL"/>
    <x v="1"/>
    <m/>
    <d v="2016-09-19T00:00:00"/>
    <d v="2019-09-19T00:00:00"/>
    <d v="2017-11-24T00:00:00"/>
    <m/>
    <x v="1"/>
    <s v="Open Market"/>
    <m/>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s v="South Richmond"/>
  </r>
  <r>
    <s v="16/1882/FUL"/>
    <x v="0"/>
    <m/>
    <d v="2017-05-30T00:00:00"/>
    <d v="2020-05-30T00:00:00"/>
    <d v="2019-04-01T00:00:00"/>
    <m/>
    <x v="1"/>
    <s v="Open Market"/>
    <m/>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s v="Barnes"/>
  </r>
  <r>
    <s v="16/1903/FUL"/>
    <x v="1"/>
    <m/>
    <d v="2016-11-15T00:00:00"/>
    <d v="2020-11-01T00:00:00"/>
    <d v="2019-01-14T00:00:00"/>
    <d v="2020-05-18T00:00:00"/>
    <x v="1"/>
    <s v="Open Market"/>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s v="Kew"/>
  </r>
  <r>
    <s v="16/2306/FUL"/>
    <x v="2"/>
    <m/>
    <d v="2016-08-17T00:00:00"/>
    <d v="2019-08-17T00:00:00"/>
    <d v="2019-01-14T00:00:00"/>
    <m/>
    <x v="1"/>
    <s v="Open Market"/>
    <m/>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s v="Ham, Petersham and Richmond Riverside"/>
  </r>
  <r>
    <s v="16/2637/FUL"/>
    <x v="0"/>
    <m/>
    <d v="2017-03-07T00:00:00"/>
    <d v="2020-03-07T00:00:00"/>
    <d v="2017-05-10T00:00:00"/>
    <m/>
    <x v="1"/>
    <s v="Open Market"/>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s v="Barnes"/>
  </r>
  <r>
    <s v="16/2647/FUL"/>
    <x v="0"/>
    <m/>
    <d v="2017-10-10T00:00:00"/>
    <d v="2020-10-10T00:00:00"/>
    <d v="2019-12-02T00:00:00"/>
    <m/>
    <x v="1"/>
    <s v="Intermediate"/>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s v="Teddington"/>
  </r>
  <r>
    <s v="16/2709/FUL"/>
    <x v="0"/>
    <m/>
    <d v="2017-04-10T00:00:00"/>
    <d v="2020-04-10T00:00:00"/>
    <d v="2020-03-22T00:00:00"/>
    <m/>
    <x v="1"/>
    <s v="Open Market"/>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s v="Barnes"/>
  </r>
  <r>
    <s v="16/3293/RES"/>
    <x v="0"/>
    <m/>
    <d v="2016-11-03T00:00:00"/>
    <d v="2019-11-03T00:00:00"/>
    <d v="2017-03-13T00:00:00"/>
    <m/>
    <x v="1"/>
    <s v="Affordable Ren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s v="St. Margarets and North Twickenham"/>
  </r>
  <r>
    <s v="16/3293/RES"/>
    <x v="0"/>
    <m/>
    <d v="2016-11-03T00:00:00"/>
    <d v="2019-11-03T00:00:00"/>
    <d v="2017-03-13T00:00:00"/>
    <m/>
    <x v="1"/>
    <s v="Open Marke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s v="St. Margarets and North Twickenham"/>
  </r>
  <r>
    <s v="16/3293/RES"/>
    <x v="0"/>
    <m/>
    <d v="2016-11-03T00:00:00"/>
    <d v="2019-11-03T00:00:00"/>
    <d v="2017-03-13T00:00:00"/>
    <m/>
    <x v="1"/>
    <s v="Intermediate"/>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s v="St. Margarets and North Twickenham"/>
  </r>
  <r>
    <s v="16/3450/FUL"/>
    <x v="0"/>
    <m/>
    <d v="2017-10-16T00:00:00"/>
    <d v="2020-10-16T00:00:00"/>
    <d v="2018-09-03T00:00:00"/>
    <d v="2020-09-09T00:00:00"/>
    <x v="1"/>
    <s v="Open Market"/>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s v="South Twickenham"/>
  </r>
  <r>
    <s v="16/3506/FUL"/>
    <x v="0"/>
    <m/>
    <d v="2018-10-11T00:00:00"/>
    <d v="2021-10-11T00:00:00"/>
    <d v="2019-10-14T00:00:00"/>
    <m/>
    <x v="1"/>
    <s v="Affordable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s v="Whitton"/>
  </r>
  <r>
    <s v="16/3506/FUL"/>
    <x v="0"/>
    <m/>
    <d v="2018-10-11T00:00:00"/>
    <d v="2021-10-11T00:00:00"/>
    <d v="2019-10-14T00:00:00"/>
    <m/>
    <x v="1"/>
    <s v="Intermediate"/>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s v="Whitton"/>
  </r>
  <r>
    <s v="16/3506/FUL"/>
    <x v="0"/>
    <m/>
    <d v="2018-10-11T00:00:00"/>
    <d v="2021-10-11T00:00:00"/>
    <d v="2019-10-14T00:00:00"/>
    <m/>
    <x v="1"/>
    <s v="Social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s v="Whitton"/>
  </r>
  <r>
    <s v="16/3552/FUL"/>
    <x v="3"/>
    <m/>
    <d v="2018-04-24T00:00:00"/>
    <d v="2021-04-24T00:00:00"/>
    <d v="2018-04-25T00:00:00"/>
    <m/>
    <x v="1"/>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s v="Ham, Petersham and Richmond Riverside"/>
  </r>
  <r>
    <s v="16/3625/FUL"/>
    <x v="0"/>
    <m/>
    <d v="2017-11-30T00:00:00"/>
    <d v="2020-11-30T00:00:00"/>
    <d v="2018-09-01T00:00:00"/>
    <m/>
    <x v="1"/>
    <s v="Open Market"/>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s v="Twickenham Riverside"/>
  </r>
  <r>
    <s v="16/3961/FUL"/>
    <x v="0"/>
    <m/>
    <d v="2017-02-20T00:00:00"/>
    <d v="2020-08-10T00:00:00"/>
    <d v="2019-01-14T00:00:00"/>
    <m/>
    <x v="1"/>
    <s v="Open Market"/>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s v="Mortlake and Barnes Common"/>
  </r>
  <r>
    <s v="16/4127/FUL"/>
    <x v="2"/>
    <m/>
    <d v="2017-12-04T00:00:00"/>
    <d v="2021-01-30T00:00:00"/>
    <d v="2019-03-01T00:00:00"/>
    <m/>
    <x v="1"/>
    <s v="Open Market"/>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s v="Teddington"/>
  </r>
  <r>
    <s v="16/4405/FUL"/>
    <x v="0"/>
    <m/>
    <d v="2017-03-27T00:00:00"/>
    <d v="2020-03-27T00:00:00"/>
    <d v="2017-09-01T00:00:00"/>
    <m/>
    <x v="1"/>
    <s v="Open Market"/>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s v="West Twickenham"/>
  </r>
  <r>
    <s v="16/4635/FUL"/>
    <x v="0"/>
    <m/>
    <d v="2017-03-07T00:00:00"/>
    <d v="2020-03-07T00:00:00"/>
    <d v="2020-03-01T00:00:00"/>
    <m/>
    <x v="1"/>
    <s v="Open Market"/>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s v="Whitton"/>
  </r>
  <r>
    <s v="16/4772/GPD15"/>
    <x v="1"/>
    <s v="PA"/>
    <d v="2017-02-24T00:00:00"/>
    <d v="2020-12-21T00:00:00"/>
    <d v="2019-10-07T00:00:00"/>
    <m/>
    <x v="1"/>
    <s v="Open Market"/>
    <m/>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s v="Twickenham Riverside"/>
  </r>
  <r>
    <s v="16/4890/FUL"/>
    <x v="0"/>
    <m/>
    <d v="2017-09-08T00:00:00"/>
    <d v="2020-09-08T00:00:00"/>
    <d v="2019-03-30T00:00:00"/>
    <m/>
    <x v="1"/>
    <s v="Open Market"/>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s v="Kew"/>
  </r>
  <r>
    <s v="16/4902/FUL"/>
    <x v="0"/>
    <m/>
    <d v="2017-06-22T00:00:00"/>
    <d v="2021-11-12T00:00:00"/>
    <d v="2019-10-09T00:00:00"/>
    <m/>
    <x v="1"/>
    <s v="Open Market"/>
    <m/>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s v="South Richmond"/>
  </r>
  <r>
    <s v="17/0323/FUL"/>
    <x v="0"/>
    <m/>
    <d v="2018-03-22T00:00:00"/>
    <d v="2021-03-23T00:00:00"/>
    <d v="2020-03-31T00:00:00"/>
    <m/>
    <x v="1"/>
    <s v="Open Market"/>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s v="Fulwell and Hampton Hill"/>
  </r>
  <r>
    <s v="17/0330/FUL"/>
    <x v="0"/>
    <m/>
    <d v="2017-08-07T00:00:00"/>
    <d v="2020-08-07T00:00:00"/>
    <d v="2018-03-20T00:00:00"/>
    <m/>
    <x v="1"/>
    <s v="Open Market"/>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s v="Hampton Wick"/>
  </r>
  <r>
    <s v="17/1285/GPD15"/>
    <x v="1"/>
    <s v="PA"/>
    <d v="2017-05-26T00:00:00"/>
    <d v="2021-12-08T00:00:00"/>
    <d v="2020-01-13T00:00:00"/>
    <m/>
    <x v="1"/>
    <s v="Open Market"/>
    <m/>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s v="Kew"/>
  </r>
  <r>
    <s v="17/1286/VRC"/>
    <x v="0"/>
    <m/>
    <d v="2017-10-05T00:00:00"/>
    <d v="2017-12-09T00:00:00"/>
    <d v="2017-10-05T00:00:00"/>
    <d v="2020-05-15T00:00:00"/>
    <x v="1"/>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s v="Teddington"/>
  </r>
  <r>
    <s v="17/1453/FUL"/>
    <x v="1"/>
    <m/>
    <d v="2018-04-24T00:00:00"/>
    <d v="2021-04-24T00:00:00"/>
    <d v="2019-10-03T00:00:00"/>
    <m/>
    <x v="1"/>
    <s v="Open Market"/>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s v="South Twickenham"/>
  </r>
  <r>
    <s v="17/1937/FUL"/>
    <x v="1"/>
    <m/>
    <d v="2018-09-13T00:00:00"/>
    <d v="2021-09-13T00:00:00"/>
    <d v="2019-10-01T00:00:00"/>
    <m/>
    <x v="1"/>
    <s v="Open Market"/>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s v="South Twickenham"/>
  </r>
  <r>
    <s v="17/1996/FUL"/>
    <x v="0"/>
    <m/>
    <d v="2017-11-28T00:00:00"/>
    <d v="2020-11-28T00:00:00"/>
    <d v="2019-02-01T00:00:00"/>
    <m/>
    <x v="1"/>
    <s v="Open Market"/>
    <m/>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s v="North Richmond"/>
  </r>
  <r>
    <s v="17/2488/FUL"/>
    <x v="0"/>
    <m/>
    <d v="2017-08-25T00:00:00"/>
    <d v="2021-04-06T00:00:00"/>
    <d v="2018-12-01T00:00:00"/>
    <m/>
    <x v="1"/>
    <s v="Open Market"/>
    <m/>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s v="East Sheen"/>
  </r>
  <r>
    <s v="17/2769/FUL"/>
    <x v="0"/>
    <m/>
    <d v="2018-04-13T00:00:00"/>
    <d v="2021-04-13T00:00:00"/>
    <d v="2018-11-30T00:00:00"/>
    <m/>
    <x v="1"/>
    <s v="Open Market"/>
    <m/>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s v="Ham, Petersham and Richmond Riverside"/>
  </r>
  <r>
    <s v="17/2939/FUL"/>
    <x v="1"/>
    <m/>
    <d v="2017-11-09T00:00:00"/>
    <d v="2020-11-09T00:00:00"/>
    <d v="2018-09-04T00:00:00"/>
    <m/>
    <x v="1"/>
    <s v="Open Market"/>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s v="Mortlake and Barnes Common"/>
  </r>
  <r>
    <s v="17/3667/FUL"/>
    <x v="0"/>
    <m/>
    <d v="2018-04-25T00:00:00"/>
    <d v="2021-04-25T00:00:00"/>
    <d v="2020-03-02T00:00:00"/>
    <m/>
    <x v="1"/>
    <s v="Open Market"/>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s v="Ham, Petersham and Richmond Riverside"/>
  </r>
  <r>
    <s v="17/4268/FUL"/>
    <x v="0"/>
    <m/>
    <d v="2018-05-09T00:00:00"/>
    <d v="2021-05-09T00:00:00"/>
    <d v="2019-03-01T00:00:00"/>
    <m/>
    <x v="1"/>
    <s v="Open Market"/>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s v="Barnes"/>
  </r>
  <r>
    <s v="17/4303/FUL"/>
    <x v="4"/>
    <m/>
    <d v="2018-07-20T00:00:00"/>
    <d v="2021-07-20T00:00:00"/>
    <m/>
    <d v="2020-07-07T00:00:00"/>
    <x v="1"/>
    <s v="Open Market"/>
    <m/>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s v="Fulwell and Hampton Hill"/>
  </r>
  <r>
    <s v="17/4368/FUL"/>
    <x v="3"/>
    <m/>
    <d v="2019-03-06T00:00:00"/>
    <d v="2022-03-07T00:00:00"/>
    <d v="2019-09-02T00:00:00"/>
    <m/>
    <x v="1"/>
    <s v="Open Market"/>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s v="Hampton North"/>
  </r>
  <r>
    <s v="17/4517/VRC"/>
    <x v="0"/>
    <m/>
    <d v="2018-02-26T00:00:00"/>
    <d v="2021-02-26T00:00:00"/>
    <d v="2019-03-01T00:00:00"/>
    <d v="2020-08-13T00:00:00"/>
    <x v="1"/>
    <s v="Open Market"/>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s v="East Sheen"/>
  </r>
  <r>
    <s v="18/0111/FUL"/>
    <x v="0"/>
    <m/>
    <d v="2018-06-27T00:00:00"/>
    <d v="2021-06-27T00:00:00"/>
    <d v="2019-06-15T00:00:00"/>
    <d v="2020-07-01T00:00:00"/>
    <x v="1"/>
    <s v="Open Market"/>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s v="West Twickenham"/>
  </r>
  <r>
    <s v="18/0216/FUL"/>
    <x v="2"/>
    <m/>
    <d v="2018-12-05T00:00:00"/>
    <d v="2021-12-05T00:00:00"/>
    <d v="2019-11-11T00:00:00"/>
    <m/>
    <x v="1"/>
    <s v="Open Market"/>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s v="East Sheen"/>
  </r>
  <r>
    <s v="18/0282/FUL"/>
    <x v="0"/>
    <m/>
    <d v="2018-04-03T00:00:00"/>
    <d v="2021-04-03T00:00:00"/>
    <d v="2019-03-01T00:00:00"/>
    <m/>
    <x v="1"/>
    <s v="Open Market"/>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s v="Mortlake and Barnes Common"/>
  </r>
  <r>
    <s v="18/0449/FUL"/>
    <x v="2"/>
    <m/>
    <d v="2018-09-07T00:00:00"/>
    <d v="2021-09-07T00:00:00"/>
    <d v="2018-11-01T00:00:00"/>
    <m/>
    <x v="1"/>
    <s v="Open Market"/>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s v="Hampton"/>
  </r>
  <r>
    <s v="18/0692/FUL"/>
    <x v="0"/>
    <m/>
    <d v="2018-08-17T00:00:00"/>
    <d v="2021-08-17T00:00:00"/>
    <d v="2019-08-12T00:00:00"/>
    <m/>
    <x v="1"/>
    <s v="Open Market"/>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s v="Hampton"/>
  </r>
  <r>
    <s v="18/0771/FUL"/>
    <x v="0"/>
    <m/>
    <d v="2018-06-21T00:00:00"/>
    <d v="2021-06-21T00:00:00"/>
    <d v="2018-12-01T00:00:00"/>
    <m/>
    <x v="1"/>
    <s v="Open Market"/>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s v="Hampton North"/>
  </r>
  <r>
    <s v="18/0929/FUL"/>
    <x v="3"/>
    <m/>
    <d v="2018-11-07T00:00:00"/>
    <d v="2021-11-07T00:00:00"/>
    <d v="2018-12-03T00:00:00"/>
    <d v="2020-06-12T00:00:00"/>
    <x v="1"/>
    <s v="Open Market"/>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s v="Fulwell and Hampton Hill"/>
  </r>
  <r>
    <s v="18/0946/FUL"/>
    <x v="1"/>
    <m/>
    <d v="2018-06-04T00:00:00"/>
    <d v="2021-06-04T00:00:00"/>
    <d v="2020-01-13T00:00:00"/>
    <m/>
    <x v="1"/>
    <s v="Open Market"/>
    <m/>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s v="Kew"/>
  </r>
  <r>
    <s v="18/1619/FUL"/>
    <x v="4"/>
    <m/>
    <d v="2019-05-28T00:00:00"/>
    <d v="2022-05-28T00:00:00"/>
    <d v="2019-08-07T00:00:00"/>
    <d v="2020-05-12T00:00:00"/>
    <x v="1"/>
    <s v="Open Market"/>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s v="East Sheen"/>
  </r>
  <r>
    <s v="18/1767/FUL"/>
    <x v="1"/>
    <m/>
    <d v="2019-01-11T00:00:00"/>
    <d v="2022-01-11T00:00:00"/>
    <d v="2019-03-01T00:00:00"/>
    <d v="2020-05-11T00:00:00"/>
    <x v="1"/>
    <s v="Open Market"/>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s v="Fulwell and Hampton Hill"/>
  </r>
  <r>
    <s v="18/1808/FUL"/>
    <x v="0"/>
    <m/>
    <d v="2018-11-19T00:00:00"/>
    <d v="2021-11-19T00:00:00"/>
    <d v="2019-10-16T00:00:00"/>
    <m/>
    <x v="1"/>
    <s v="Open Market"/>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s v="Teddington"/>
  </r>
  <r>
    <s v="18/2114/FUL"/>
    <x v="1"/>
    <m/>
    <d v="2018-12-20T00:00:00"/>
    <d v="2021-12-20T00:00:00"/>
    <d v="2019-02-01T00:00:00"/>
    <d v="2020-05-04T00:00:00"/>
    <x v="1"/>
    <s v="Open Market"/>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s v="Mortlake and Barnes Common"/>
  </r>
  <r>
    <s v="18/2235/VRC"/>
    <x v="1"/>
    <m/>
    <d v="2018-09-25T00:00:00"/>
    <d v="2021-09-25T00:00:00"/>
    <d v="2019-10-01T00:00:00"/>
    <m/>
    <x v="1"/>
    <s v="Open Market"/>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s v="Hampton"/>
  </r>
  <r>
    <s v="18/2322/FUL"/>
    <x v="1"/>
    <m/>
    <d v="2018-11-13T00:00:00"/>
    <d v="2022-05-30T00:00:00"/>
    <d v="2020-01-13T00:00:00"/>
    <m/>
    <x v="1"/>
    <s v="Open Market"/>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s v="Kew"/>
  </r>
  <r>
    <s v="18/2494/FUL"/>
    <x v="0"/>
    <m/>
    <d v="2019-03-22T00:00:00"/>
    <d v="2022-03-22T00:00:00"/>
    <d v="2020-01-29T00:00:00"/>
    <m/>
    <x v="1"/>
    <s v="Open Market"/>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s v="East Sheen"/>
  </r>
  <r>
    <s v="18/2928/FUL"/>
    <x v="1"/>
    <m/>
    <d v="2019-03-08T00:00:00"/>
    <d v="2022-03-08T00:00:00"/>
    <d v="2019-03-29T00:00:00"/>
    <m/>
    <x v="1"/>
    <s v="Open Market"/>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s v="Teddington"/>
  </r>
  <r>
    <s v="18/3515/FUL"/>
    <x v="2"/>
    <m/>
    <d v="2019-02-18T00:00:00"/>
    <d v="2022-02-18T00:00:00"/>
    <d v="2019-10-01T00:00:00"/>
    <d v="2020-08-13T00:00:00"/>
    <x v="1"/>
    <s v="Open Market"/>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s v="East Sheen"/>
  </r>
  <r>
    <s v="18/3768/FUL"/>
    <x v="1"/>
    <m/>
    <d v="2019-03-26T00:00:00"/>
    <d v="2022-03-26T00:00:00"/>
    <d v="2020-01-13T00:00:00"/>
    <m/>
    <x v="1"/>
    <s v="Open Market"/>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s v="Hampton"/>
  </r>
  <r>
    <s v="18/3804/FUL"/>
    <x v="0"/>
    <m/>
    <d v="2019-05-14T00:00:00"/>
    <d v="2022-05-14T00:00:00"/>
    <d v="2019-10-17T00:00:00"/>
    <m/>
    <x v="1"/>
    <s v="Open Market"/>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s v="Hampton"/>
  </r>
  <r>
    <s v="18/3815/GPD15"/>
    <x v="1"/>
    <s v="PA"/>
    <d v="2019-01-18T00:00:00"/>
    <d v="2022-01-18T00:00:00"/>
    <d v="2019-11-15T00:00:00"/>
    <m/>
    <x v="1"/>
    <s v="Open Market"/>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s v="Hampton Wick"/>
  </r>
  <r>
    <s v="18/3941/GPD15"/>
    <x v="1"/>
    <s v="PA"/>
    <d v="2019-01-30T00:00:00"/>
    <d v="2022-01-30T00:00:00"/>
    <d v="2019-09-14T00:00:00"/>
    <d v="2020-09-02T00:00:00"/>
    <x v="1"/>
    <s v="Open Market"/>
    <m/>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s v="Kew"/>
  </r>
  <r>
    <s v="19/0092/FUL"/>
    <x v="3"/>
    <m/>
    <d v="2019-07-03T00:00:00"/>
    <d v="2022-07-03T00:00:00"/>
    <d v="2019-08-14T00:00:00"/>
    <d v="2020-09-15T00:00:00"/>
    <x v="1"/>
    <s v="Open Market"/>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s v="Whitton"/>
  </r>
  <r>
    <s v="19/0111/FUL"/>
    <x v="3"/>
    <m/>
    <d v="2019-12-12T00:00:00"/>
    <d v="2022-12-12T00:00:00"/>
    <d v="2020-03-30T00:00:00"/>
    <m/>
    <x v="1"/>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s v="Hampton Wick"/>
  </r>
  <r>
    <s v="19/0181/GPD15"/>
    <x v="1"/>
    <s v="PA"/>
    <d v="2019-03-06T00:00:00"/>
    <d v="2022-03-06T00:00:00"/>
    <d v="2019-05-13T00:00:00"/>
    <d v="2020-07-02T00:00:00"/>
    <x v="1"/>
    <s v="Open Market"/>
    <m/>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s v="East Sheen"/>
  </r>
  <r>
    <s v="19/0347/GPD15"/>
    <x v="1"/>
    <s v="PA"/>
    <d v="2019-03-12T00:00:00"/>
    <d v="2022-03-13T00:00:00"/>
    <d v="2019-04-01T00:00:00"/>
    <m/>
    <x v="1"/>
    <s v="Open Market"/>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s v="South Twickenham"/>
  </r>
  <r>
    <s v="19/0386/FUL"/>
    <x v="0"/>
    <m/>
    <d v="2019-07-05T00:00:00"/>
    <d v="2022-07-05T00:00:00"/>
    <d v="2020-01-06T00:00:00"/>
    <m/>
    <x v="1"/>
    <s v="Open Market"/>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s v="Whitton"/>
  </r>
  <r>
    <s v="19/0551/FUL"/>
    <x v="2"/>
    <m/>
    <d v="2019-08-21T00:00:00"/>
    <d v="2022-08-21T00:00:00"/>
    <d v="2019-11-04T00:00:00"/>
    <m/>
    <x v="1"/>
    <s v="Open Market"/>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s v="North Richmond"/>
  </r>
  <r>
    <s v="19/0772/GPD15"/>
    <x v="1"/>
    <s v="PA"/>
    <d v="2019-05-09T00:00:00"/>
    <d v="2022-05-09T00:00:00"/>
    <d v="2020-03-02T00:00:00"/>
    <m/>
    <x v="1"/>
    <s v="Open Market"/>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s v="West Twickenham"/>
  </r>
  <r>
    <s v="19/0867/FUL"/>
    <x v="3"/>
    <m/>
    <d v="2019-06-03T00:00:00"/>
    <d v="2022-06-04T00:00:00"/>
    <d v="2019-09-23T00:00:00"/>
    <d v="2020-06-04T00:00:00"/>
    <x v="1"/>
    <s v="Open Market"/>
    <m/>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s v="St. Margarets and North Twickenham"/>
  </r>
  <r>
    <s v="19/0893/FUL"/>
    <x v="1"/>
    <m/>
    <d v="2019-08-12T00:00:00"/>
    <d v="2022-08-12T00:00:00"/>
    <d v="2020-02-03T00:00:00"/>
    <m/>
    <x v="1"/>
    <s v="Open Market"/>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s v="Kew"/>
  </r>
  <r>
    <s v="19/0950/FUL"/>
    <x v="1"/>
    <m/>
    <d v="2019-08-13T00:00:00"/>
    <d v="2022-08-13T00:00:00"/>
    <d v="2020-01-28T00:00:00"/>
    <m/>
    <x v="1"/>
    <s v="Open Market"/>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s v="South Richmond"/>
  </r>
  <r>
    <s v="19/0954/VRC"/>
    <x v="0"/>
    <m/>
    <d v="2019-10-16T00:00:00"/>
    <d v="2020-10-06T00:00:00"/>
    <d v="2019-07-24T00:00:00"/>
    <m/>
    <x v="1"/>
    <s v="Open Market"/>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s v="South Richmond"/>
  </r>
  <r>
    <s v="19/0974/FUL"/>
    <x v="2"/>
    <m/>
    <d v="2019-08-02T00:00:00"/>
    <d v="2022-08-02T00:00:00"/>
    <d v="2020-02-11T00:00:00"/>
    <m/>
    <x v="1"/>
    <s v="Open Market"/>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s v="Hampton Wick"/>
  </r>
  <r>
    <s v="19/1332/GPD13"/>
    <x v="1"/>
    <s v="PA"/>
    <d v="2019-07-11T00:00:00"/>
    <d v="2022-07-11T00:00:00"/>
    <d v="2019-08-01T00:00:00"/>
    <d v="2020-06-05T00:00:00"/>
    <x v="1"/>
    <s v="Open Market"/>
    <m/>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s v="Whitton"/>
  </r>
  <r>
    <s v="19/1455/FUL"/>
    <x v="2"/>
    <m/>
    <d v="2019-08-06T00:00:00"/>
    <d v="2022-08-06T00:00:00"/>
    <d v="2020-01-16T00:00:00"/>
    <m/>
    <x v="1"/>
    <s v="Open Market"/>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s v="East Sheen"/>
  </r>
  <r>
    <s v="19/1502/FUL"/>
    <x v="1"/>
    <m/>
    <d v="2019-07-22T00:00:00"/>
    <d v="2022-07-22T00:00:00"/>
    <d v="2019-09-19T00:00:00"/>
    <d v="2020-07-30T00:00:00"/>
    <x v="1"/>
    <s v="Open Market"/>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s v="Mortlake and Barnes Common"/>
  </r>
  <r>
    <s v="19/1620/GPD15"/>
    <x v="1"/>
    <s v="PA"/>
    <d v="2019-07-26T00:00:00"/>
    <d v="2021-04-03T00:00:00"/>
    <m/>
    <d v="2020-04-20T00:00:00"/>
    <x v="1"/>
    <s v="Open Market"/>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s v="North Richmond"/>
  </r>
  <r>
    <s v="19/1622/FUL"/>
    <x v="1"/>
    <m/>
    <d v="2019-10-18T00:00:00"/>
    <d v="2022-10-18T00:00:00"/>
    <d v="2020-03-31T00:00:00"/>
    <m/>
    <x v="1"/>
    <s v="Open Market"/>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s v="West Twickenham"/>
  </r>
  <r>
    <s v="19/1978/FUL"/>
    <x v="2"/>
    <m/>
    <d v="2019-11-11T00:00:00"/>
    <d v="2022-11-11T00:00:00"/>
    <d v="2019-11-18T00:00:00"/>
    <m/>
    <x v="1"/>
    <s v="Open Market"/>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s v="South Richmond"/>
  </r>
  <r>
    <s v="19/2377/GPD15"/>
    <x v="1"/>
    <s v="PA"/>
    <d v="2019-09-30T00:00:00"/>
    <d v="2022-09-30T00:00:00"/>
    <d v="2020-02-17T00:00:00"/>
    <m/>
    <x v="1"/>
    <s v="Open Market"/>
    <m/>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s v="St. Margarets and North Twickenham"/>
  </r>
  <r>
    <s v="19/3852/GPD15"/>
    <x v="1"/>
    <s v="PA"/>
    <d v="2020-02-06T00:00:00"/>
    <d v="2023-02-06T00:00:00"/>
    <d v="2020-02-10T00:00:00"/>
    <m/>
    <x v="1"/>
    <s v="Open Market"/>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s v="Mortlake and Barnes Common"/>
  </r>
  <r>
    <s v="19/3913/GPD15"/>
    <x v="1"/>
    <s v="PA"/>
    <d v="2020-02-14T00:00:00"/>
    <d v="2020-06-30T00:00:00"/>
    <d v="2020-03-02T00:00:00"/>
    <m/>
    <x v="1"/>
    <s v="Open Market"/>
    <m/>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s v="St. Margarets and North Twickenham"/>
  </r>
  <r>
    <s v="19/1669/FUL"/>
    <x v="1"/>
    <m/>
    <d v="2019-08-23T00:00:00"/>
    <d v="2022-08-23T00:00:00"/>
    <d v="2019-11-11T00:00:00"/>
    <m/>
    <x v="1"/>
    <s v="Open Market"/>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s v="Ham, Petersham and Richmond Riverside"/>
  </r>
  <r>
    <s v="15/2204/FUL"/>
    <x v="0"/>
    <m/>
    <d v="2018-07-03T00:00:00"/>
    <d v="2021-07-03T00:00:00"/>
    <m/>
    <m/>
    <x v="2"/>
    <s v="Open Market"/>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s v="Whitton"/>
  </r>
  <r>
    <s v="15/3296/FUL"/>
    <x v="0"/>
    <m/>
    <d v="2019-08-13T00:00:00"/>
    <d v="2022-08-13T00:00:00"/>
    <m/>
    <m/>
    <x v="2"/>
    <s v="Affordable Rent"/>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s v="Hampton Wick"/>
  </r>
  <r>
    <s v="15/3297/FUL"/>
    <x v="0"/>
    <m/>
    <d v="2019-08-13T00:00:00"/>
    <d v="2022-08-13T00:00:00"/>
    <m/>
    <m/>
    <x v="2"/>
    <s v="Affordable Rent"/>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s v="Hampton Wick"/>
  </r>
  <r>
    <s v="15/4581/FUL"/>
    <x v="0"/>
    <m/>
    <d v="2018-04-23T00:00:00"/>
    <d v="2021-04-23T00:00:00"/>
    <m/>
    <m/>
    <x v="2"/>
    <s v="Open Market"/>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s v="Hampton"/>
  </r>
  <r>
    <s v="15/4586/FUL"/>
    <x v="0"/>
    <m/>
    <d v="2017-07-11T00:00:00"/>
    <d v="2020-07-11T00:00:00"/>
    <m/>
    <m/>
    <x v="2"/>
    <s v="Open Market"/>
    <m/>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s v="South Twickenham"/>
  </r>
  <r>
    <s v="16/0510/FUL"/>
    <x v="1"/>
    <m/>
    <d v="2018-07-19T00:00:00"/>
    <d v="2021-07-19T00:00:00"/>
    <m/>
    <m/>
    <x v="2"/>
    <s v="Open Market"/>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s v="South Richmond"/>
  </r>
  <r>
    <s v="16/0606/FUL"/>
    <x v="3"/>
    <m/>
    <d v="2017-09-05T00:00:00"/>
    <d v="2020-09-05T00:00:00"/>
    <m/>
    <m/>
    <x v="2"/>
    <s v="Open Market"/>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s v="Hampton"/>
  </r>
  <r>
    <s v="16/0647/FUL"/>
    <x v="0"/>
    <m/>
    <d v="2017-05-30T00:00:00"/>
    <d v="2021-04-16T00:00:00"/>
    <m/>
    <m/>
    <x v="2"/>
    <s v="Open Market"/>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s v="Hampton Wick"/>
  </r>
  <r>
    <s v="16/2288/FUL"/>
    <x v="4"/>
    <m/>
    <d v="2018-08-22T00:00:00"/>
    <d v="2021-08-22T00:00:00"/>
    <d v="2020-09-15T00:00:00"/>
    <m/>
    <x v="2"/>
    <s v="Open Market"/>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s v="Fulwell and Hampton Hill"/>
  </r>
  <r>
    <s v="16/2704/FUL"/>
    <x v="0"/>
    <m/>
    <d v="2018-01-25T00:00:00"/>
    <d v="2021-01-25T00:00:00"/>
    <m/>
    <m/>
    <x v="2"/>
    <s v="Open Market"/>
    <m/>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s v="South Richmond"/>
  </r>
  <r>
    <s v="16/2736/FUL"/>
    <x v="0"/>
    <m/>
    <d v="2017-05-26T00:00:00"/>
    <d v="2020-05-26T00:00:00"/>
    <m/>
    <m/>
    <x v="2"/>
    <s v="Open Market"/>
    <m/>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s v="Ham, Petersham and Richmond Riverside"/>
  </r>
  <r>
    <s v="16/2822/FUL"/>
    <x v="4"/>
    <m/>
    <d v="2017-05-11T00:00:00"/>
    <d v="2020-05-11T00:00:00"/>
    <m/>
    <m/>
    <x v="2"/>
    <s v="Open Market"/>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s v="West Twickenham"/>
  </r>
  <r>
    <s v="16/4384/FUL"/>
    <x v="0"/>
    <m/>
    <d v="2017-10-27T00:00:00"/>
    <d v="2020-10-27T00:00:00"/>
    <m/>
    <m/>
    <x v="2"/>
    <s v="Open Market"/>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s v="Mortlake and Barnes Common"/>
  </r>
  <r>
    <s v="16/4553/FUL"/>
    <x v="0"/>
    <m/>
    <d v="2018-05-31T00:00:00"/>
    <d v="2021-05-31T00:00:00"/>
    <m/>
    <m/>
    <x v="2"/>
    <s v="Open Market"/>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s v="Fulwell and Hampton Hill"/>
  </r>
  <r>
    <s v="16/4587/FUL"/>
    <x v="1"/>
    <m/>
    <d v="2017-06-27T00:00:00"/>
    <d v="2020-06-27T00:00:00"/>
    <d v="2020-06-02T00:00:00"/>
    <m/>
    <x v="2"/>
    <s v="Open Market"/>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s v="East Sheen"/>
  </r>
  <r>
    <s v="17/0315/FUL"/>
    <x v="3"/>
    <m/>
    <d v="2018-06-12T00:00:00"/>
    <d v="2021-06-12T00:00:00"/>
    <m/>
    <m/>
    <x v="2"/>
    <s v="Open Market"/>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s v="Twickenham Riverside"/>
  </r>
  <r>
    <s v="17/0341/GPD13"/>
    <x v="1"/>
    <s v="PA"/>
    <d v="2017-04-24T00:00:00"/>
    <d v="2020-04-24T00:00:00"/>
    <m/>
    <m/>
    <x v="2"/>
    <s v="Open Market"/>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s v="Teddington"/>
  </r>
  <r>
    <s v="17/0346/FUL"/>
    <x v="2"/>
    <m/>
    <d v="2017-08-31T00:00:00"/>
    <d v="2020-08-31T00:00:00"/>
    <m/>
    <m/>
    <x v="2"/>
    <s v="Open Market"/>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s v="North Richmond"/>
  </r>
  <r>
    <s v="17/0600/FUL"/>
    <x v="1"/>
    <m/>
    <d v="2018-01-19T00:00:00"/>
    <d v="2021-01-19T00:00:00"/>
    <m/>
    <m/>
    <x v="2"/>
    <s v="Open Market"/>
    <m/>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s v="Twickenham Riverside"/>
  </r>
  <r>
    <s v="17/0788/FUL"/>
    <x v="0"/>
    <m/>
    <d v="2017-11-17T00:00:00"/>
    <d v="2021-01-08T00:00:00"/>
    <m/>
    <m/>
    <x v="2"/>
    <s v="Open Market"/>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s v="Teddington"/>
  </r>
  <r>
    <s v="17/0798/FUL"/>
    <x v="0"/>
    <m/>
    <d v="2017-12-01T00:00:00"/>
    <d v="2020-12-01T00:00:00"/>
    <m/>
    <m/>
    <x v="2"/>
    <s v="Open Market"/>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s v="Whitton"/>
  </r>
  <r>
    <s v="17/1033/FUL"/>
    <x v="0"/>
    <m/>
    <d v="2017-09-19T00:00:00"/>
    <d v="2021-05-23T00:00:00"/>
    <m/>
    <m/>
    <x v="2"/>
    <s v="Open Market"/>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s v="South Twickenham"/>
  </r>
  <r>
    <s v="17/1139/GPD15"/>
    <x v="1"/>
    <s v="PA"/>
    <d v="2017-05-31T00:00:00"/>
    <d v="2020-05-31T00:00:00"/>
    <m/>
    <m/>
    <x v="2"/>
    <s v="Open Market"/>
    <m/>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s v="Twickenham Riverside"/>
  </r>
  <r>
    <s v="17/1390/FUL"/>
    <x v="0"/>
    <m/>
    <d v="2018-11-15T00:00:00"/>
    <d v="2022-05-14T00:00:00"/>
    <m/>
    <m/>
    <x v="2"/>
    <s v="Open Market"/>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s v="St. Margarets and North Twickenham"/>
  </r>
  <r>
    <s v="17/1550/FUL"/>
    <x v="0"/>
    <m/>
    <d v="2018-07-09T00:00:00"/>
    <d v="2021-07-09T00:00:00"/>
    <m/>
    <m/>
    <x v="2"/>
    <s v="Open Market"/>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s v="Hampton Wick"/>
  </r>
  <r>
    <s v="17/1782/FUL"/>
    <x v="0"/>
    <m/>
    <d v="2019-01-14T00:00:00"/>
    <d v="2022-01-14T00:00:00"/>
    <m/>
    <m/>
    <x v="2"/>
    <s v="Open Market"/>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s v="Hampton Wick"/>
  </r>
  <r>
    <s v="17/2314/FUL"/>
    <x v="0"/>
    <m/>
    <d v="2018-04-26T00:00:00"/>
    <d v="2021-04-26T00:00:00"/>
    <m/>
    <m/>
    <x v="2"/>
    <s v="Open Market"/>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s v="Hampton North"/>
  </r>
  <r>
    <s v="17/2532/GPD15"/>
    <x v="1"/>
    <s v="PA"/>
    <d v="2017-08-09T00:00:00"/>
    <d v="2020-08-09T00:00:00"/>
    <d v="2020-06-01T00:00:00"/>
    <m/>
    <x v="2"/>
    <s v="Open Market"/>
    <m/>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s v="Kew"/>
  </r>
  <r>
    <s v="17/2586/FUL"/>
    <x v="2"/>
    <m/>
    <d v="2017-09-27T00:00:00"/>
    <d v="2020-09-27T00:00:00"/>
    <m/>
    <m/>
    <x v="2"/>
    <s v="Open Market"/>
    <m/>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s v="East Sheen"/>
  </r>
  <r>
    <s v="17/2597/GPD15"/>
    <x v="1"/>
    <s v="PA"/>
    <d v="2017-08-30T00:00:00"/>
    <d v="2020-08-30T00:00:00"/>
    <m/>
    <m/>
    <x v="2"/>
    <s v="Open Market"/>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s v="East Sheen"/>
  </r>
  <r>
    <s v="17/2680/FUL"/>
    <x v="0"/>
    <m/>
    <d v="2017-12-11T00:00:00"/>
    <d v="2021-03-14T00:00:00"/>
    <d v="2020-06-01T00:00:00"/>
    <m/>
    <x v="2"/>
    <s v="Open Market"/>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s v="Hampton"/>
  </r>
  <r>
    <s v="17/2693/GPD15"/>
    <x v="1"/>
    <s v="PA"/>
    <d v="2017-09-08T00:00:00"/>
    <d v="2020-09-08T00:00:00"/>
    <m/>
    <m/>
    <x v="2"/>
    <s v="Open Market"/>
    <m/>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s v="East Sheen"/>
  </r>
  <r>
    <s v="17/2872/FUL"/>
    <x v="0"/>
    <m/>
    <d v="2019-05-30T00:00:00"/>
    <d v="2022-05-20T00:00:00"/>
    <m/>
    <m/>
    <x v="2"/>
    <s v="Open Market"/>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s v="Hampton"/>
  </r>
  <r>
    <s v="17/2957/FUL"/>
    <x v="2"/>
    <m/>
    <d v="2017-12-20T00:00:00"/>
    <d v="2020-12-20T00:00:00"/>
    <m/>
    <m/>
    <x v="2"/>
    <s v="Open Market"/>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s v="Fulwell and Hampton Hill"/>
  </r>
  <r>
    <s v="17/3001/GPD16"/>
    <x v="1"/>
    <s v="PA"/>
    <d v="2017-09-27T00:00:00"/>
    <d v="2021-06-07T00:00:00"/>
    <m/>
    <m/>
    <x v="2"/>
    <s v="Open Market"/>
    <m/>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s v="Teddington"/>
  </r>
  <r>
    <s v="17/3003/GPD16"/>
    <x v="1"/>
    <s v="PA"/>
    <d v="2017-09-27T00:00:00"/>
    <d v="2021-06-07T00:00:00"/>
    <m/>
    <m/>
    <x v="2"/>
    <s v="Open Market"/>
    <m/>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s v="Teddington"/>
  </r>
  <r>
    <s v="17/3054/FUL"/>
    <x v="0"/>
    <m/>
    <d v="2018-10-30T00:00:00"/>
    <d v="2021-10-30T00:00:00"/>
    <m/>
    <m/>
    <x v="2"/>
    <s v="Open Market"/>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s v="Twickenham Riverside"/>
  </r>
  <r>
    <s v="17/3077/FUL"/>
    <x v="0"/>
    <m/>
    <d v="2018-03-15T00:00:00"/>
    <d v="2021-03-15T00:00:00"/>
    <d v="2020-05-04T00:00:00"/>
    <m/>
    <x v="2"/>
    <s v="Open Market"/>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s v="Twickenham Riverside"/>
  </r>
  <r>
    <s v="17/3265/FUL"/>
    <x v="0"/>
    <m/>
    <d v="2018-01-15T00:00:00"/>
    <d v="2021-01-15T00:00:00"/>
    <m/>
    <m/>
    <x v="2"/>
    <s v="Open Market"/>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s v="Barnes"/>
  </r>
  <r>
    <s v="17/3402/GPD16"/>
    <x v="1"/>
    <s v="PA"/>
    <d v="2017-11-03T00:00:00"/>
    <d v="2020-11-03T00:00:00"/>
    <m/>
    <m/>
    <x v="2"/>
    <s v="Open Market"/>
    <m/>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s v="Teddington"/>
  </r>
  <r>
    <s v="17/3404/FUL"/>
    <x v="1"/>
    <m/>
    <d v="2018-02-01T00:00:00"/>
    <d v="2021-02-02T00:00:00"/>
    <m/>
    <m/>
    <x v="2"/>
    <s v="Open Market"/>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s v="Fulwell and Hampton Hill"/>
  </r>
  <r>
    <s v="17/3590/FUL"/>
    <x v="0"/>
    <m/>
    <d v="2018-07-26T00:00:00"/>
    <d v="2021-07-26T00:00:00"/>
    <m/>
    <m/>
    <x v="2"/>
    <s v="Open Market"/>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s v="Fulwell and Hampton Hill"/>
  </r>
  <r>
    <s v="17/3610/FUL"/>
    <x v="3"/>
    <m/>
    <d v="2018-03-23T00:00:00"/>
    <d v="2021-03-23T00:00:00"/>
    <m/>
    <m/>
    <x v="2"/>
    <s v="Open Market"/>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s v="Barnes"/>
  </r>
  <r>
    <s v="17/3696/GPD16"/>
    <x v="1"/>
    <s v="PA"/>
    <d v="2017-12-22T00:00:00"/>
    <d v="2020-12-22T00:00:00"/>
    <m/>
    <m/>
    <x v="2"/>
    <s v="Open Market"/>
    <m/>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s v="East Sheen"/>
  </r>
  <r>
    <s v="17/3795/GPD15"/>
    <x v="1"/>
    <s v="PA"/>
    <d v="2017-12-11T00:00:00"/>
    <d v="2020-12-11T00:00:00"/>
    <m/>
    <m/>
    <x v="2"/>
    <s v="Open Market"/>
    <m/>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s v="Teddington"/>
  </r>
  <r>
    <s v="17/4005/FUL"/>
    <x v="3"/>
    <m/>
    <d v="2020-03-05T00:00:00"/>
    <d v="2023-03-05T00:00:00"/>
    <m/>
    <m/>
    <x v="2"/>
    <s v="Open Market"/>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s v="South Richmond"/>
  </r>
  <r>
    <s v="17/4014/FUL"/>
    <x v="1"/>
    <m/>
    <d v="2018-11-30T00:00:00"/>
    <d v="2022-03-19T00:00:00"/>
    <m/>
    <m/>
    <x v="2"/>
    <s v="Open Market"/>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s v="South Twickenham"/>
  </r>
  <r>
    <s v="17/4015/FUL"/>
    <x v="0"/>
    <m/>
    <d v="2018-10-03T00:00:00"/>
    <d v="2021-10-03T00:00:00"/>
    <m/>
    <m/>
    <x v="2"/>
    <s v="Open Market"/>
    <m/>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s v="South Richmond"/>
  </r>
  <r>
    <s v="17/4114/PS192"/>
    <x v="1"/>
    <s v="PA"/>
    <d v="2017-12-28T00:00:00"/>
    <d v="2020-12-28T00:00:00"/>
    <m/>
    <m/>
    <x v="2"/>
    <s v="Open Market"/>
    <m/>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s v="Teddington"/>
  </r>
  <r>
    <s v="17/4122/FUL"/>
    <x v="0"/>
    <m/>
    <d v="2018-12-21T00:00:00"/>
    <d v="2021-12-21T00:00:00"/>
    <m/>
    <m/>
    <x v="2"/>
    <s v="Open Market"/>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s v="Mortlake and Barnes Common"/>
  </r>
  <r>
    <s v="17/4292/FUL"/>
    <x v="4"/>
    <m/>
    <d v="2018-01-25T00:00:00"/>
    <d v="2021-01-25T00:00:00"/>
    <m/>
    <m/>
    <x v="2"/>
    <s v="Open Market"/>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s v="North Richmond"/>
  </r>
  <r>
    <s v="17/4344/FUL"/>
    <x v="1"/>
    <m/>
    <d v="2018-03-09T00:00:00"/>
    <d v="2021-03-09T00:00:00"/>
    <m/>
    <m/>
    <x v="2"/>
    <s v="Open Market"/>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s v="South Richmond"/>
  </r>
  <r>
    <s v="17/4422/GPD15"/>
    <x v="1"/>
    <s v="PA"/>
    <d v="2018-02-05T00:00:00"/>
    <d v="2021-02-05T00:00:00"/>
    <m/>
    <m/>
    <x v="2"/>
    <s v="Open Market"/>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s v="Teddington"/>
  </r>
  <r>
    <s v="17/4453/FUL"/>
    <x v="3"/>
    <m/>
    <d v="2018-05-10T00:00:00"/>
    <d v="2021-05-10T00:00:00"/>
    <m/>
    <m/>
    <x v="2"/>
    <s v="Open Market"/>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s v="Kew"/>
  </r>
  <r>
    <s v="17/4477/FUL"/>
    <x v="2"/>
    <m/>
    <d v="2019-05-23T00:00:00"/>
    <d v="2022-05-23T00:00:00"/>
    <m/>
    <m/>
    <x v="2"/>
    <s v="Open Market"/>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s v="South Richmond"/>
  </r>
  <r>
    <s v="18/0268/FUL"/>
    <x v="0"/>
    <m/>
    <d v="2018-05-31T00:00:00"/>
    <d v="2021-05-31T00:00:00"/>
    <m/>
    <m/>
    <x v="2"/>
    <s v="Open Market"/>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s v="Fulwell and Hampton Hill"/>
  </r>
  <r>
    <s v="18/0301/FUL"/>
    <x v="0"/>
    <m/>
    <d v="2018-12-18T00:00:00"/>
    <d v="2021-12-18T00:00:00"/>
    <m/>
    <m/>
    <x v="2"/>
    <s v="Open Market"/>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s v="Ham, Petersham and Richmond Riverside"/>
  </r>
  <r>
    <s v="18/0315/FUL"/>
    <x v="0"/>
    <m/>
    <d v="2019-06-20T00:00:00"/>
    <d v="2022-06-20T00:00:00"/>
    <m/>
    <m/>
    <x v="2"/>
    <s v="Open Market"/>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s v="Hampton North"/>
  </r>
  <r>
    <s v="18/0584/GPD15"/>
    <x v="1"/>
    <s v="PA"/>
    <d v="2018-04-17T00:00:00"/>
    <d v="2021-05-17T00:00:00"/>
    <m/>
    <m/>
    <x v="2"/>
    <s v="Open Market"/>
    <m/>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s v="Fulwell and Hampton Hill"/>
  </r>
  <r>
    <s v="18/0723/FUL"/>
    <x v="0"/>
    <m/>
    <d v="2018-10-04T00:00:00"/>
    <d v="2021-10-04T00:00:00"/>
    <d v="2020-06-23T00:00:00"/>
    <m/>
    <x v="2"/>
    <s v="Open Market"/>
    <m/>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s v="South Richmond"/>
  </r>
  <r>
    <s v="18/0866/FUL"/>
    <x v="4"/>
    <m/>
    <d v="2018-11-05T00:00:00"/>
    <d v="2021-11-06T00:00:00"/>
    <m/>
    <m/>
    <x v="2"/>
    <s v="Open Market"/>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s v="North Richmond"/>
  </r>
  <r>
    <s v="18/1022/FUL"/>
    <x v="2"/>
    <m/>
    <d v="2018-11-27T00:00:00"/>
    <d v="2021-11-27T00:00:00"/>
    <m/>
    <m/>
    <x v="2"/>
    <s v="Open Market"/>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s v="Teddington"/>
  </r>
  <r>
    <s v="18/1038/FUL"/>
    <x v="0"/>
    <m/>
    <d v="2019-02-04T00:00:00"/>
    <d v="2022-02-04T00:00:00"/>
    <m/>
    <m/>
    <x v="2"/>
    <s v="Open Market"/>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s v="East Sheen"/>
  </r>
  <r>
    <s v="18/1064/GPD15"/>
    <x v="1"/>
    <s v="PA"/>
    <d v="2018-05-22T00:00:00"/>
    <d v="2021-05-22T00:00:00"/>
    <m/>
    <m/>
    <x v="2"/>
    <s v="Open Market"/>
    <m/>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s v="East Sheen"/>
  </r>
  <r>
    <s v="18/1114/FUL"/>
    <x v="3"/>
    <m/>
    <d v="2019-07-25T00:00:00"/>
    <d v="2022-07-25T00:00:00"/>
    <m/>
    <m/>
    <x v="2"/>
    <s v="Open Market"/>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s v="Fulwell and Hampton Hill"/>
  </r>
  <r>
    <s v="18/1248/FUL"/>
    <x v="1"/>
    <m/>
    <d v="2018-12-21T00:00:00"/>
    <d v="2021-12-21T00:00:00"/>
    <m/>
    <m/>
    <x v="2"/>
    <s v="Open Market"/>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s v="North Richmond"/>
  </r>
  <r>
    <s v="18/1442/FUL"/>
    <x v="0"/>
    <m/>
    <d v="2019-01-07T00:00:00"/>
    <d v="2022-01-07T00:00:00"/>
    <m/>
    <m/>
    <x v="2"/>
    <s v="Open Market"/>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s v="West Twickenham"/>
  </r>
  <r>
    <s v="18/1446/FUL"/>
    <x v="0"/>
    <m/>
    <d v="2018-08-10T00:00:00"/>
    <d v="2021-08-10T00:00:00"/>
    <m/>
    <m/>
    <x v="2"/>
    <s v="Open Market"/>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s v="South Twickenham"/>
  </r>
  <r>
    <s v="18/1743/FUL"/>
    <x v="0"/>
    <m/>
    <d v="2018-10-12T00:00:00"/>
    <d v="2021-12-20T00:00:00"/>
    <m/>
    <m/>
    <x v="2"/>
    <s v="Open Market"/>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s v="Hampton Wick"/>
  </r>
  <r>
    <s v="18/1911/FUL"/>
    <x v="4"/>
    <m/>
    <d v="2018-12-11T00:00:00"/>
    <d v="2021-12-11T00:00:00"/>
    <m/>
    <m/>
    <x v="2"/>
    <s v="Open Market"/>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s v="Twickenham Riverside"/>
  </r>
  <r>
    <s v="18/2038/FUL"/>
    <x v="0"/>
    <m/>
    <d v="2019-02-12T00:00:00"/>
    <d v="2022-02-12T00:00:00"/>
    <m/>
    <m/>
    <x v="2"/>
    <s v="Open Market"/>
    <m/>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s v="Barnes"/>
  </r>
  <r>
    <s v="18/2328/GPD15"/>
    <x v="1"/>
    <s v="PA"/>
    <d v="2018-09-14T00:00:00"/>
    <d v="2021-09-14T00:00:00"/>
    <m/>
    <m/>
    <x v="2"/>
    <s v="Open Market"/>
    <m/>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s v="Teddington"/>
  </r>
  <r>
    <s v="18/2716/GPD13"/>
    <x v="1"/>
    <s v="PA"/>
    <d v="2018-10-08T00:00:00"/>
    <d v="2021-10-08T00:00:00"/>
    <m/>
    <m/>
    <x v="2"/>
    <s v="Open Market"/>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s v="East Sheen"/>
  </r>
  <r>
    <s v="18/2943/FUL"/>
    <x v="4"/>
    <m/>
    <d v="2019-11-07T00:00:00"/>
    <d v="2022-11-07T00:00:00"/>
    <m/>
    <m/>
    <x v="2"/>
    <s v="Open Market"/>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s v="Hampton"/>
  </r>
  <r>
    <s v="18/3003/FUL"/>
    <x v="0"/>
    <m/>
    <d v="2019-05-24T00:00:00"/>
    <d v="2022-05-24T00:00:00"/>
    <m/>
    <m/>
    <x v="2"/>
    <s v="Open Market"/>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s v="St. Margarets and North Twickenham"/>
  </r>
  <r>
    <s v="18/3195/GPD15"/>
    <x v="1"/>
    <s v="PA"/>
    <d v="2018-11-12T00:00:00"/>
    <d v="2021-11-12T00:00:00"/>
    <m/>
    <m/>
    <x v="2"/>
    <s v="Open Market"/>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s v="East Sheen"/>
  </r>
  <r>
    <s v="18/3285/FUL"/>
    <x v="0"/>
    <m/>
    <d v="2019-03-18T00:00:00"/>
    <d v="2022-03-18T00:00:00"/>
    <m/>
    <m/>
    <x v="2"/>
    <s v="Open Market"/>
    <m/>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s v="Barnes"/>
  </r>
  <r>
    <s v="18/3460/FUL"/>
    <x v="2"/>
    <m/>
    <d v="2019-02-26T00:00:00"/>
    <d v="2022-02-26T00:00:00"/>
    <m/>
    <m/>
    <x v="2"/>
    <s v="Open Market"/>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s v="South Richmond"/>
  </r>
  <r>
    <s v="18/3613/GPD15"/>
    <x v="1"/>
    <s v="PA"/>
    <d v="2018-12-28T00:00:00"/>
    <d v="2021-12-28T00:00:00"/>
    <m/>
    <m/>
    <x v="2"/>
    <s v="Open Market"/>
    <m/>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s v="Fulwell and Hampton Hill"/>
  </r>
  <r>
    <s v="18/3696/FUL"/>
    <x v="1"/>
    <m/>
    <d v="2019-02-08T00:00:00"/>
    <d v="2022-02-08T00:00:00"/>
    <m/>
    <m/>
    <x v="2"/>
    <s v="Open Market"/>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s v="South Twickenham"/>
  </r>
  <r>
    <s v="18/3930/FUL"/>
    <x v="0"/>
    <m/>
    <d v="2019-10-17T00:00:00"/>
    <d v="2022-10-17T00:00:00"/>
    <m/>
    <m/>
    <x v="2"/>
    <s v="Open Market"/>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s v="Hampton Wick"/>
  </r>
  <r>
    <s v="18/3950/FUL"/>
    <x v="1"/>
    <m/>
    <d v="2019-07-15T00:00:00"/>
    <d v="2022-07-15T00:00:00"/>
    <m/>
    <m/>
    <x v="2"/>
    <s v="Affordable Ren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s v="North Richmond"/>
  </r>
  <r>
    <s v="18/3950/FUL"/>
    <x v="1"/>
    <m/>
    <d v="2019-07-15T00:00:00"/>
    <d v="2022-07-15T00:00:00"/>
    <m/>
    <m/>
    <x v="2"/>
    <s v="Intermediate"/>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s v="North Richmond"/>
  </r>
  <r>
    <s v="18/3950/FUL"/>
    <x v="1"/>
    <m/>
    <d v="2019-07-15T00:00:00"/>
    <d v="2022-07-15T00:00:00"/>
    <m/>
    <m/>
    <x v="2"/>
    <s v="Open Marke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s v="North Richmond"/>
  </r>
  <r>
    <s v="18/3952/FUL"/>
    <x v="0"/>
    <m/>
    <d v="2019-03-29T00:00:00"/>
    <d v="2022-04-01T00:00:00"/>
    <m/>
    <m/>
    <x v="2"/>
    <s v="Open Market"/>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s v="Hampton"/>
  </r>
  <r>
    <s v="18/3954/FUL"/>
    <x v="0"/>
    <m/>
    <d v="2019-07-08T00:00:00"/>
    <d v="2022-06-24T00:00:00"/>
    <m/>
    <m/>
    <x v="2"/>
    <s v="Open Market"/>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s v="South Richmond"/>
  </r>
  <r>
    <s v="18/4125/FUL"/>
    <x v="2"/>
    <m/>
    <d v="2019-02-06T00:00:00"/>
    <d v="2022-02-06T00:00:00"/>
    <m/>
    <m/>
    <x v="2"/>
    <s v="Open Market"/>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s v="Fulwell and Hampton Hill"/>
  </r>
  <r>
    <s v="18/4138/FUL"/>
    <x v="0"/>
    <m/>
    <d v="2019-11-11T00:00:00"/>
    <d v="2022-11-11T00:00:00"/>
    <d v="2020-04-14T00:00:00"/>
    <m/>
    <x v="2"/>
    <s v="Open Market"/>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s v="Kew"/>
  </r>
  <r>
    <s v="18/4183/FUL"/>
    <x v="0"/>
    <m/>
    <d v="2019-07-25T00:00:00"/>
    <d v="2022-07-25T00:00:00"/>
    <m/>
    <m/>
    <x v="2"/>
    <s v="Open Market"/>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s v="Mortlake and Barnes Common"/>
  </r>
  <r>
    <s v="18/4259/FUL"/>
    <x v="2"/>
    <m/>
    <d v="2019-09-23T00:00:00"/>
    <d v="2022-09-23T00:00:00"/>
    <m/>
    <m/>
    <x v="2"/>
    <s v="Open Market"/>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s v="Barnes"/>
  </r>
  <r>
    <s v="19/0171/GPD15"/>
    <x v="1"/>
    <s v="PA"/>
    <d v="2019-03-19T00:00:00"/>
    <d v="2022-03-19T00:00:00"/>
    <m/>
    <m/>
    <x v="2"/>
    <s v="Open Market"/>
    <m/>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s v="Barnes"/>
  </r>
  <r>
    <s v="19/0175/FUL"/>
    <x v="0"/>
    <m/>
    <d v="2019-05-09T00:00:00"/>
    <d v="2022-05-09T00:00:00"/>
    <m/>
    <m/>
    <x v="2"/>
    <s v="Open Market"/>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s v="Twickenham Riverside"/>
  </r>
  <r>
    <s v="19/0228/FUL"/>
    <x v="2"/>
    <m/>
    <d v="2019-06-28T00:00:00"/>
    <d v="2022-06-28T00:00:00"/>
    <m/>
    <m/>
    <x v="2"/>
    <s v="Open Market"/>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s v="North Richmond"/>
  </r>
  <r>
    <s v="19/0338/FUL"/>
    <x v="0"/>
    <m/>
    <d v="2019-05-24T00:00:00"/>
    <d v="2022-05-24T00:00:00"/>
    <m/>
    <m/>
    <x v="2"/>
    <s v="Open Market"/>
    <m/>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s v="West Twickenham"/>
  </r>
  <r>
    <s v="19/0382/FUL"/>
    <x v="0"/>
    <m/>
    <d v="2019-12-05T00:00:00"/>
    <d v="2022-12-05T00:00:00"/>
    <m/>
    <m/>
    <x v="2"/>
    <s v="Open Market"/>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s v="South Twickenham"/>
  </r>
  <r>
    <s v="19/0391/FUL"/>
    <x v="0"/>
    <m/>
    <d v="2020-02-20T00:00:00"/>
    <d v="2023-02-20T00:00:00"/>
    <m/>
    <m/>
    <x v="2"/>
    <s v="Open Market"/>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s v="Mortlake and Barnes Common"/>
  </r>
  <r>
    <s v="19/0414/FUL"/>
    <x v="0"/>
    <m/>
    <d v="2020-01-22T00:00:00"/>
    <d v="2023-01-23T00:00:00"/>
    <m/>
    <m/>
    <x v="2"/>
    <s v="Open Market"/>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s v="Heathfield"/>
  </r>
  <r>
    <s v="19/0823/GPD13"/>
    <x v="1"/>
    <s v="PA"/>
    <d v="2019-05-07T00:00:00"/>
    <d v="2022-05-07T00:00:00"/>
    <m/>
    <m/>
    <x v="2"/>
    <s v="Open Market"/>
    <m/>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s v="Kew"/>
  </r>
  <r>
    <s v="19/0847/FUL"/>
    <x v="0"/>
    <m/>
    <d v="2019-12-23T00:00:00"/>
    <d v="2022-12-24T00:00:00"/>
    <m/>
    <m/>
    <x v="2"/>
    <s v="Open Market"/>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s v="Teddington"/>
  </r>
  <r>
    <s v="19/0911/FUL"/>
    <x v="4"/>
    <m/>
    <d v="2020-01-17T00:00:00"/>
    <d v="2023-02-05T00:00:00"/>
    <m/>
    <m/>
    <x v="2"/>
    <s v="Open Market"/>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s v="Hampton Wick"/>
  </r>
  <r>
    <s v="19/1029/FUL"/>
    <x v="4"/>
    <m/>
    <d v="2019-09-17T00:00:00"/>
    <d v="2022-09-17T00:00:00"/>
    <m/>
    <m/>
    <x v="2"/>
    <s v="Open Market"/>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s v="Fulwell and Hampton Hill"/>
  </r>
  <r>
    <s v="19/1033/GPD23"/>
    <x v="1"/>
    <s v="PA"/>
    <d v="2019-06-05T00:00:00"/>
    <d v="2022-06-05T00:00:00"/>
    <m/>
    <m/>
    <x v="2"/>
    <s v="Open Market"/>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s v="East Sheen"/>
  </r>
  <r>
    <s v="19/1098/FUL"/>
    <x v="0"/>
    <m/>
    <d v="2019-08-23T00:00:00"/>
    <d v="2022-08-27T00:00:00"/>
    <m/>
    <m/>
    <x v="2"/>
    <s v="Open Market"/>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s v="East Sheen"/>
  </r>
  <r>
    <s v="19/1162/FUL"/>
    <x v="3"/>
    <m/>
    <d v="2020-03-20T00:00:00"/>
    <d v="2023-03-20T00:00:00"/>
    <m/>
    <m/>
    <x v="2"/>
    <s v="Open Market"/>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s v="South Richmond"/>
  </r>
  <r>
    <s v="19/1219/FUL"/>
    <x v="0"/>
    <m/>
    <d v="2019-12-11T00:00:00"/>
    <d v="2022-12-11T00:00:00"/>
    <m/>
    <m/>
    <x v="2"/>
    <s v="Open Market"/>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s v="East Sheen"/>
  </r>
  <r>
    <s v="19/1361/FUL"/>
    <x v="4"/>
    <m/>
    <d v="2019-07-16T00:00:00"/>
    <d v="2022-07-16T00:00:00"/>
    <d v="2020-06-17T00:00:00"/>
    <d v="2020-09-30T00:00:00"/>
    <x v="2"/>
    <s v="Open Market"/>
    <m/>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s v="West Twickenham"/>
  </r>
  <r>
    <s v="19/1602/GPD15"/>
    <x v="1"/>
    <s v="PA"/>
    <d v="2019-07-15T00:00:00"/>
    <d v="2022-07-15T00:00:00"/>
    <m/>
    <m/>
    <x v="2"/>
    <s v="Open Market"/>
    <m/>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s v="Fulwell and Hampton Hill"/>
  </r>
  <r>
    <s v="19/1649/GPD15"/>
    <x v="1"/>
    <s v="PA"/>
    <d v="2019-07-16T00:00:00"/>
    <d v="2022-07-16T00:00:00"/>
    <m/>
    <m/>
    <x v="2"/>
    <s v="Open Market"/>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s v="Twickenham Riverside"/>
  </r>
  <r>
    <s v="19/1703/FUL"/>
    <x v="1"/>
    <m/>
    <d v="2019-08-12T00:00:00"/>
    <d v="2022-12-27T00:00:00"/>
    <m/>
    <m/>
    <x v="2"/>
    <s v="Open Market"/>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s v="West Twickenham"/>
  </r>
  <r>
    <s v="19/1731/FUL"/>
    <x v="0"/>
    <m/>
    <d v="2019-08-21T00:00:00"/>
    <d v="2022-08-21T00:00:00"/>
    <m/>
    <m/>
    <x v="2"/>
    <s v="Open Market"/>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s v="South Twickenham"/>
  </r>
  <r>
    <s v="19/1759/FUL"/>
    <x v="2"/>
    <m/>
    <d v="2019-09-09T00:00:00"/>
    <d v="2022-09-16T00:00:00"/>
    <m/>
    <m/>
    <x v="2"/>
    <s v="Open Market"/>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s v="Fulwell and Hampton Hill"/>
  </r>
  <r>
    <s v="19/1763/FUL"/>
    <x v="0"/>
    <m/>
    <d v="2019-09-23T00:00:00"/>
    <d v="2022-09-23T00:00:00"/>
    <m/>
    <m/>
    <x v="2"/>
    <s v="Open Market"/>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s v="St. Margarets and North Twickenham"/>
  </r>
  <r>
    <s v="19/1895/FUL"/>
    <x v="4"/>
    <m/>
    <d v="2019-10-23T00:00:00"/>
    <d v="2022-10-23T00:00:00"/>
    <m/>
    <m/>
    <x v="2"/>
    <s v="Open Market"/>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s v="Ham, Petersham and Richmond Riverside"/>
  </r>
  <r>
    <s v="19/1997/GPD23"/>
    <x v="1"/>
    <s v="PA"/>
    <d v="2019-08-29T00:00:00"/>
    <d v="2022-08-29T00:00:00"/>
    <m/>
    <m/>
    <x v="2"/>
    <s v="Open Market"/>
    <m/>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s v="Fulwell and Hampton Hill"/>
  </r>
  <r>
    <s v="19/2102/FUL"/>
    <x v="4"/>
    <m/>
    <d v="2019-08-21T00:00:00"/>
    <d v="2022-08-27T00:00:00"/>
    <m/>
    <m/>
    <x v="2"/>
    <s v="Open Market"/>
    <m/>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s v="Hampton Wick"/>
  </r>
  <r>
    <s v="19/2273/FUL"/>
    <x v="1"/>
    <m/>
    <d v="2019-12-23T00:00:00"/>
    <d v="2022-12-23T00:00:00"/>
    <m/>
    <m/>
    <x v="2"/>
    <s v="Open Market"/>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s v="Hampton North"/>
  </r>
  <r>
    <s v="19/2300/FUL"/>
    <x v="0"/>
    <m/>
    <d v="2019-09-23T00:00:00"/>
    <d v="2022-09-23T00:00:00"/>
    <m/>
    <m/>
    <x v="2"/>
    <s v="Open Market"/>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s v="North Richmond"/>
  </r>
  <r>
    <s v="19/2788/FUL"/>
    <x v="4"/>
    <m/>
    <d v="2020-01-31T00:00:00"/>
    <d v="2023-02-03T00:00:00"/>
    <m/>
    <m/>
    <x v="2"/>
    <s v="Open Market"/>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s v="Kew"/>
  </r>
  <r>
    <s v="19/2796/GPD15"/>
    <x v="1"/>
    <s v="PA"/>
    <d v="2019-11-05T00:00:00"/>
    <d v="2022-07-05T00:00:00"/>
    <m/>
    <m/>
    <x v="2"/>
    <s v="Open Market"/>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s v="Mortlake and Barnes Common"/>
  </r>
  <r>
    <s v="19/3025/FUL"/>
    <x v="1"/>
    <m/>
    <d v="2020-01-29T00:00:00"/>
    <d v="2023-01-29T00:00:00"/>
    <m/>
    <m/>
    <x v="2"/>
    <s v="Open Market"/>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s v="Twickenham Riverside"/>
  </r>
  <r>
    <s v="19/3101/GPD23"/>
    <x v="1"/>
    <s v="PA"/>
    <d v="2019-11-18T00:00:00"/>
    <d v="2022-11-18T00:00:00"/>
    <m/>
    <m/>
    <x v="2"/>
    <s v="Open Market"/>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s v="Fulwell and Hampton Hill"/>
  </r>
  <r>
    <s v="19/3419/FUL"/>
    <x v="0"/>
    <m/>
    <d v="2020-03-11T00:00:00"/>
    <d v="2023-03-11T00:00:00"/>
    <m/>
    <m/>
    <x v="2"/>
    <s v="Open Market"/>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s v="Ham, Petersham and Richmond Riverside"/>
  </r>
  <r>
    <s v="20/0136/FUL"/>
    <x v="0"/>
    <m/>
    <d v="2020-03-26T00:00:00"/>
    <d v="2021-12-21T00:00:00"/>
    <m/>
    <m/>
    <x v="2"/>
    <s v="Open Market"/>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s v="Barnes"/>
  </r>
  <r>
    <s v="20/0373/PS192"/>
    <x v="1"/>
    <s v="PA"/>
    <d v="2020-02-17T00:00:00"/>
    <d v="2020-02-18T00:00:00"/>
    <m/>
    <m/>
    <x v="2"/>
    <s v="Open Market"/>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s v="East Sheen"/>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9">
  <r>
    <s v="10/0312/FUL"/>
    <x v="0"/>
    <m/>
    <d v="2010-06-15T00:00:00"/>
    <d v="2013-06-15T00:00:00"/>
    <d v="2013-06-15T00:00:00"/>
    <d v="2019-10-03T00:00:00"/>
    <x v="0"/>
    <x v="0"/>
    <m/>
    <s v="Construction of three bedroom house and associated landscaping"/>
    <s v="72 Stanley Road_x000d_Teddington_x000d__x000d_"/>
    <m/>
    <m/>
    <m/>
    <m/>
    <m/>
    <m/>
    <m/>
    <m/>
    <m/>
    <n v="0"/>
    <m/>
    <m/>
    <m/>
    <n v="1"/>
    <m/>
    <m/>
    <m/>
    <m/>
    <m/>
    <n v="1"/>
    <n v="0"/>
    <n v="0"/>
    <n v="1"/>
    <n v="0"/>
    <n v="0"/>
    <n v="0"/>
    <n v="0"/>
    <n v="0"/>
    <n v="1"/>
    <m/>
    <n v="1"/>
    <n v="0"/>
    <n v="0"/>
    <n v="0"/>
    <n v="0"/>
    <n v="0"/>
    <m/>
    <m/>
    <m/>
    <m/>
    <m/>
    <n v="0"/>
    <n v="515372"/>
    <n v="171266"/>
    <s v="Teddington"/>
  </r>
  <r>
    <s v="11/1443/FUL"/>
    <x v="0"/>
    <m/>
    <d v="2012-03-30T00:00:00"/>
    <d v="2015-03-30T00:00:00"/>
    <d v="2015-03-14T00:00:00"/>
    <d v="2020-01-31T00:00:00"/>
    <x v="0"/>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s v="St. Margarets and North Twickenham"/>
  </r>
  <r>
    <s v="11/2882/FUL"/>
    <x v="1"/>
    <m/>
    <d v="2012-09-10T00:00:00"/>
    <d v="2015-09-10T00:00:00"/>
    <d v="2015-09-09T00:00:00"/>
    <d v="2020-03-18T00:00:00"/>
    <x v="0"/>
    <x v="0"/>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s v="West Twickenham"/>
  </r>
  <r>
    <s v="13/2163/FUL"/>
    <x v="2"/>
    <m/>
    <d v="2013-10-25T00:00:00"/>
    <d v="2016-10-28T00:00:00"/>
    <d v="2016-09-01T00:00:00"/>
    <d v="2019-08-14T00:00:00"/>
    <x v="0"/>
    <x v="0"/>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s v="Hampton Wick"/>
  </r>
  <r>
    <s v="14/3983/FUL"/>
    <x v="0"/>
    <m/>
    <d v="2015-05-15T00:00:00"/>
    <d v="2019-03-18T00:00:00"/>
    <d v="2017-04-14T00:00:00"/>
    <d v="2020-03-31T00:00:00"/>
    <x v="0"/>
    <x v="0"/>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s v="South Richmond"/>
  </r>
  <r>
    <s v="14/4464/P3JPA"/>
    <x v="1"/>
    <s v="PA"/>
    <d v="2015-01-05T00:00:00"/>
    <d v="2020-07-21T00:00:00"/>
    <d v="2018-02-01T00:00:00"/>
    <d v="2019-10-11T00:00:00"/>
    <x v="0"/>
    <x v="0"/>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s v="South Twickenham"/>
  </r>
  <r>
    <s v="14/4721/FUL"/>
    <x v="0"/>
    <m/>
    <d v="2015-07-30T00:00:00"/>
    <d v="2018-07-30T00:00:00"/>
    <d v="2018-06-25T00:00:00"/>
    <d v="2020-02-19T00:00:00"/>
    <x v="0"/>
    <x v="0"/>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s v="Mortlake and Barnes Common"/>
  </r>
  <r>
    <s v="14/4793/FUL"/>
    <x v="3"/>
    <m/>
    <d v="2016-11-11T00:00:00"/>
    <d v="2019-11-11T00:00:00"/>
    <d v="2018-01-14T00:00:00"/>
    <d v="2019-11-20T00:00:00"/>
    <x v="0"/>
    <x v="0"/>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s v="East Sheen"/>
  </r>
  <r>
    <s v="14/5364/P3JPA"/>
    <x v="1"/>
    <s v="PA"/>
    <d v="2015-03-03T00:00:00"/>
    <d v="2020-03-03T00:00:00"/>
    <d v="2016-03-01T00:00:00"/>
    <d v="2019-05-31T00:00:00"/>
    <x v="0"/>
    <x v="0"/>
    <m/>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s v="Hampton"/>
  </r>
  <r>
    <s v="15/0160/FUL"/>
    <x v="0"/>
    <m/>
    <d v="2016-02-05T00:00:00"/>
    <d v="2019-02-05T00:00:00"/>
    <d v="2017-10-02T00:00:00"/>
    <d v="2019-05-20T00:00:00"/>
    <x v="0"/>
    <x v="0"/>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s v="Teddington"/>
  </r>
  <r>
    <s v="15/0421/FUL"/>
    <x v="2"/>
    <m/>
    <d v="2016-08-04T00:00:00"/>
    <d v="2019-08-04T00:00:00"/>
    <d v="2018-03-01T00:00:00"/>
    <d v="2019-09-06T00:00:00"/>
    <x v="0"/>
    <x v="0"/>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s v="South Richmond"/>
  </r>
  <r>
    <s v="15/1440/FUL"/>
    <x v="0"/>
    <m/>
    <d v="2018-09-28T00:00:00"/>
    <d v="2021-10-01T00:00:00"/>
    <d v="2019-02-01T00:00:00"/>
    <d v="2020-03-09T00:00:00"/>
    <x v="0"/>
    <x v="0"/>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s v="West Twickenham"/>
  </r>
  <r>
    <s v="15/1638/FUL"/>
    <x v="0"/>
    <m/>
    <d v="2016-08-23T00:00:00"/>
    <d v="2020-06-22T00:00:00"/>
    <d v="2018-02-01T00:00:00"/>
    <d v="2019-10-21T00:00:00"/>
    <x v="0"/>
    <x v="0"/>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s v="St. Margarets and North Twickenham"/>
  </r>
  <r>
    <s v="15/2440/VRC"/>
    <x v="0"/>
    <m/>
    <d v="2015-08-04T00:00:00"/>
    <d v="2018-08-04T00:00:00"/>
    <d v="2018-04-01T00:00:00"/>
    <d v="2019-10-18T00:00:00"/>
    <x v="0"/>
    <x v="0"/>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s v="Kew"/>
  </r>
  <r>
    <s v="15/2452/FUL"/>
    <x v="0"/>
    <m/>
    <d v="2015-07-27T00:00:00"/>
    <d v="2018-07-27T00:00:00"/>
    <d v="2016-05-12T00:00:00"/>
    <d v="2019-08-28T00:00:00"/>
    <x v="0"/>
    <x v="0"/>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s v="Twickenham Riverside"/>
  </r>
  <r>
    <s v="15/3183/FUL"/>
    <x v="2"/>
    <m/>
    <d v="2015-12-29T00:00:00"/>
    <d v="2018-12-30T00:00:00"/>
    <d v="2018-12-03T00:00:00"/>
    <d v="2019-07-01T00:00:00"/>
    <x v="0"/>
    <x v="0"/>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s v="Fulwell and Hampton Hill"/>
  </r>
  <r>
    <s v="15/4230/FUL"/>
    <x v="4"/>
    <m/>
    <d v="2016-06-02T00:00:00"/>
    <d v="2019-06-02T00:00:00"/>
    <d v="2017-06-05T00:00:00"/>
    <d v="2019-08-29T00:00:00"/>
    <x v="0"/>
    <x v="0"/>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s v="Twickenham Riverside"/>
  </r>
  <r>
    <s v="15/4281/GPD15"/>
    <x v="1"/>
    <s v="PA"/>
    <d v="2015-12-08T00:00:00"/>
    <d v="2020-12-09T00:00:00"/>
    <m/>
    <d v="2019-04-01T00:00:00"/>
    <x v="0"/>
    <x v="0"/>
    <m/>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s v="Hampton Wick"/>
  </r>
  <r>
    <s v="15/4835/FUL"/>
    <x v="0"/>
    <m/>
    <d v="2016-09-06T00:00:00"/>
    <d v="2019-09-07T00:00:00"/>
    <m/>
    <d v="2019-07-31T00:00:00"/>
    <x v="0"/>
    <x v="0"/>
    <m/>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s v="Fulwell and Hampton Hill"/>
  </r>
  <r>
    <s v="15/5216/FUL"/>
    <x v="0"/>
    <m/>
    <d v="2016-09-08T00:00:00"/>
    <d v="2019-10-21T00:00:00"/>
    <d v="2017-11-01T00:00:00"/>
    <d v="2019-06-30T00:00:00"/>
    <x v="0"/>
    <x v="1"/>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s v="Hampton Wick"/>
  </r>
  <r>
    <s v="15/5369/FUL"/>
    <x v="0"/>
    <m/>
    <d v="2016-06-15T00:00:00"/>
    <d v="2019-06-17T00:00:00"/>
    <m/>
    <d v="2019-07-30T00:00:00"/>
    <x v="0"/>
    <x v="0"/>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s v="Hampton"/>
  </r>
  <r>
    <s v="16/0234/FUL"/>
    <x v="0"/>
    <m/>
    <d v="2016-10-14T00:00:00"/>
    <d v="2019-10-14T00:00:00"/>
    <d v="2017-12-01T00:00:00"/>
    <d v="2019-07-19T00:00:00"/>
    <x v="0"/>
    <x v="0"/>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s v="South Twickenham"/>
  </r>
  <r>
    <s v="16/1293/FUL"/>
    <x v="4"/>
    <m/>
    <d v="2017-11-20T00:00:00"/>
    <d v="2020-11-21T00:00:00"/>
    <d v="2018-02-01T00:00:00"/>
    <d v="2019-10-11T00:00:00"/>
    <x v="0"/>
    <x v="0"/>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s v="South Twickenham"/>
  </r>
  <r>
    <s v="16/1344/FUL"/>
    <x v="1"/>
    <m/>
    <d v="2017-05-18T00:00:00"/>
    <d v="2020-05-18T00:00:00"/>
    <d v="2018-01-08T00:00:00"/>
    <d v="2019-09-03T00:00:00"/>
    <x v="0"/>
    <x v="0"/>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s v="St. Margarets and North Twickenham"/>
  </r>
  <r>
    <s v="16/1729/FUL"/>
    <x v="3"/>
    <m/>
    <d v="2017-01-16T00:00:00"/>
    <d v="2020-05-03T00:00:00"/>
    <d v="2018-02-01T00:00:00"/>
    <d v="2019-08-01T00:00:00"/>
    <x v="0"/>
    <x v="0"/>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s v="Hampton"/>
  </r>
  <r>
    <s v="16/1935/GPD15"/>
    <x v="1"/>
    <s v="PA"/>
    <d v="2016-07-04T00:00:00"/>
    <d v="2019-07-19T00:00:00"/>
    <d v="2018-10-01T00:00:00"/>
    <d v="2019-09-30T00:00:00"/>
    <x v="0"/>
    <x v="0"/>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s v="Fulwell and Hampton Hill"/>
  </r>
  <r>
    <s v="16/2042/FUL"/>
    <x v="2"/>
    <m/>
    <d v="2018-10-19T00:00:00"/>
    <d v="2021-10-19T00:00:00"/>
    <d v="2019-03-01T00:00:00"/>
    <d v="2020-03-02T00:00:00"/>
    <x v="0"/>
    <x v="0"/>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s v="St. Margarets and North Twickenham"/>
  </r>
  <r>
    <s v="16/2158/FUL"/>
    <x v="2"/>
    <m/>
    <d v="2016-08-05T00:00:00"/>
    <d v="2019-08-05T00:00:00"/>
    <d v="2016-09-29T00:00:00"/>
    <d v="2020-03-31T00:00:00"/>
    <x v="0"/>
    <x v="0"/>
    <m/>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s v="St. Margarets and North Twickenham"/>
  </r>
  <r>
    <s v="16/2348/FUL"/>
    <x v="0"/>
    <m/>
    <d v="2016-11-30T00:00:00"/>
    <d v="2019-11-30T00:00:00"/>
    <d v="2018-04-25T00:00:00"/>
    <d v="2020-03-31T00:00:00"/>
    <x v="0"/>
    <x v="0"/>
    <m/>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s v="North Richmond"/>
  </r>
  <r>
    <s v="16/2502/FUL"/>
    <x v="0"/>
    <m/>
    <d v="2017-03-16T00:00:00"/>
    <d v="2020-03-17T00:00:00"/>
    <d v="2018-02-01T00:00:00"/>
    <d v="2019-09-27T00:00:00"/>
    <x v="0"/>
    <x v="0"/>
    <m/>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s v="South Twickenham"/>
  </r>
  <r>
    <s v="16/2975/GPD15"/>
    <x v="1"/>
    <s v="PA"/>
    <d v="2016-09-14T00:00:00"/>
    <d v="2019-09-14T00:00:00"/>
    <d v="2019-01-09T00:00:00"/>
    <d v="2019-12-23T00:00:00"/>
    <x v="0"/>
    <x v="0"/>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s v="Twickenham Riverside"/>
  </r>
  <r>
    <s v="16/3210/GPD15"/>
    <x v="1"/>
    <s v="PA"/>
    <d v="2016-09-30T00:00:00"/>
    <d v="2019-09-30T00:00:00"/>
    <d v="2019-04-02T00:00:00"/>
    <d v="2020-02-11T00:00:00"/>
    <x v="0"/>
    <x v="0"/>
    <m/>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s v="Whitton"/>
  </r>
  <r>
    <s v="16/3247/FUL"/>
    <x v="0"/>
    <m/>
    <d v="2017-07-14T00:00:00"/>
    <d v="2020-10-31T00:00:00"/>
    <d v="2018-10-01T00:00:00"/>
    <d v="2020-01-21T00:00:00"/>
    <x v="0"/>
    <x v="0"/>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s v="Heathfield"/>
  </r>
  <r>
    <s v="16/3485/FUL"/>
    <x v="2"/>
    <m/>
    <d v="2017-10-30T00:00:00"/>
    <d v="2020-10-30T00:00:00"/>
    <d v="2020-01-10T00:00:00"/>
    <d v="2019-07-01T00:00:00"/>
    <x v="0"/>
    <x v="0"/>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s v="Fulwell and Hampton Hill"/>
  </r>
  <r>
    <s v="16/3552/FUL"/>
    <x v="3"/>
    <m/>
    <d v="2018-04-24T00:00:00"/>
    <d v="2021-04-24T00:00:00"/>
    <d v="2018-04-25T00:00:00"/>
    <d v="2020-03-30T00:00:00"/>
    <x v="0"/>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s v="Ham, Petersham and Richmond Riverside"/>
  </r>
  <r>
    <s v="16/3685/FUL"/>
    <x v="3"/>
    <m/>
    <d v="2016-11-16T00:00:00"/>
    <d v="2021-02-15T00:00:00"/>
    <d v="2018-06-22T00:00:00"/>
    <d v="2019-08-31T00:00:00"/>
    <x v="0"/>
    <x v="0"/>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s v="St. Margarets and North Twickenham"/>
  </r>
  <r>
    <s v="16/4193/FUL"/>
    <x v="0"/>
    <m/>
    <d v="2017-07-19T00:00:00"/>
    <d v="2020-07-19T00:00:00"/>
    <m/>
    <d v="2019-11-13T00:00:00"/>
    <x v="0"/>
    <x v="0"/>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s v="Hampton North"/>
  </r>
  <r>
    <s v="17/0164/GPD15"/>
    <x v="1"/>
    <s v="PA"/>
    <d v="2017-03-10T00:00:00"/>
    <d v="2020-03-10T00:00:00"/>
    <d v="2018-10-01T00:00:00"/>
    <d v="2019-04-24T00:00:00"/>
    <x v="0"/>
    <x v="0"/>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s v="Twickenham Riverside"/>
  </r>
  <r>
    <s v="17/0396/FUL"/>
    <x v="0"/>
    <m/>
    <d v="2017-06-05T00:00:00"/>
    <d v="2020-06-05T00:00:00"/>
    <d v="2019-02-01T00:00:00"/>
    <d v="2020-03-23T00:00:00"/>
    <x v="0"/>
    <x v="1"/>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s v="Ham, Petersham and Richmond Riverside"/>
  </r>
  <r>
    <s v="17/0460/FUL"/>
    <x v="2"/>
    <m/>
    <d v="2017-07-14T00:00:00"/>
    <d v="2020-07-14T00:00:00"/>
    <m/>
    <d v="2020-03-31T00:00:00"/>
    <x v="0"/>
    <x v="0"/>
    <m/>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s v="Barnes"/>
  </r>
  <r>
    <s v="17/0733/FUL"/>
    <x v="2"/>
    <m/>
    <d v="2017-09-13T00:00:00"/>
    <d v="2020-09-13T00:00:00"/>
    <d v="2019-10-31T00:00:00"/>
    <d v="2020-03-18T00:00:00"/>
    <x v="0"/>
    <x v="0"/>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s v="East Sheen"/>
  </r>
  <r>
    <s v="17/0956/FUL"/>
    <x v="0"/>
    <m/>
    <d v="2017-09-14T00:00:00"/>
    <d v="2020-09-14T00:00:00"/>
    <d v="2019-01-14T00:00:00"/>
    <d v="2020-02-20T00:00:00"/>
    <x v="0"/>
    <x v="0"/>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s v="Barnes"/>
  </r>
  <r>
    <s v="17/1207/FUL"/>
    <x v="0"/>
    <m/>
    <d v="2017-10-24T00:00:00"/>
    <d v="2020-10-24T00:00:00"/>
    <d v="2018-10-01T00:00:00"/>
    <d v="2019-11-18T00:00:00"/>
    <x v="0"/>
    <x v="0"/>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s v="Kew"/>
  </r>
  <r>
    <s v="17/1286/VRC"/>
    <x v="0"/>
    <m/>
    <d v="2017-10-05T00:00:00"/>
    <d v="2017-12-09T00:00:00"/>
    <d v="2017-10-05T00:00:00"/>
    <d v="2019-08-19T00:00:00"/>
    <x v="0"/>
    <x v="1"/>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s v="Teddington"/>
  </r>
  <r>
    <s v="17/1286/VRC"/>
    <x v="0"/>
    <m/>
    <d v="2017-10-05T00:00:00"/>
    <d v="2017-12-09T00:00:00"/>
    <d v="2017-10-05T00:00:00"/>
    <d v="2019-12-0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s v="Teddington"/>
  </r>
  <r>
    <s v="17/1286/VRC"/>
    <x v="0"/>
    <m/>
    <d v="2017-10-05T00:00:00"/>
    <d v="2017-12-09T00:00:00"/>
    <d v="2017-10-05T00:00:00"/>
    <d v="2019-04-2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s v="Teddington"/>
  </r>
  <r>
    <s v="17/1621/FUL"/>
    <x v="1"/>
    <m/>
    <d v="2017-10-09T00:00:00"/>
    <d v="2021-04-03T00:00:00"/>
    <d v="2019-09-05T00:00:00"/>
    <d v="2019-10-29T00:00:00"/>
    <x v="0"/>
    <x v="0"/>
    <m/>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s v="South Richmond"/>
  </r>
  <r>
    <s v="17/2534/FUL"/>
    <x v="2"/>
    <m/>
    <d v="2018-02-22T00:00:00"/>
    <d v="2021-02-22T00:00:00"/>
    <d v="2019-03-01T00:00:00"/>
    <d v="2020-03-25T00:00:00"/>
    <x v="0"/>
    <x v="0"/>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s v="South Richmond"/>
  </r>
  <r>
    <s v="17/2779/NMA"/>
    <x v="0"/>
    <m/>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s v="Ham, Petersham and Richmond Riverside"/>
  </r>
  <r>
    <s v="17/2779/NMA"/>
    <x v="0"/>
    <m/>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s v="Ham, Petersham and Richmond Riverside"/>
  </r>
  <r>
    <s v="17/2995/FUL"/>
    <x v="1"/>
    <m/>
    <d v="2018-04-24T00:00:00"/>
    <d v="2021-04-24T00:00:00"/>
    <d v="2019-01-31T00:00:00"/>
    <d v="2019-04-10T00:00:00"/>
    <x v="0"/>
    <x v="0"/>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s v="North Richmond"/>
  </r>
  <r>
    <s v="17/3132/FUL"/>
    <x v="0"/>
    <m/>
    <d v="2018-10-16T00:00:00"/>
    <d v="2021-10-16T00:00:00"/>
    <d v="2019-02-05T00:00:00"/>
    <d v="2020-03-31T00:00:00"/>
    <x v="0"/>
    <x v="0"/>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s v="Twickenham Riverside"/>
  </r>
  <r>
    <s v="17/3347/FUL"/>
    <x v="0"/>
    <m/>
    <d v="2018-07-25T00:00:00"/>
    <d v="2021-07-25T00:00:00"/>
    <d v="2018-11-01T00:00:00"/>
    <d v="2019-12-02T00:00:00"/>
    <x v="0"/>
    <x v="0"/>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s v="Mortlake and Barnes Common"/>
  </r>
  <r>
    <s v="17/3591/FUL"/>
    <x v="2"/>
    <m/>
    <d v="2018-10-12T00:00:00"/>
    <d v="2021-10-12T00:00:00"/>
    <m/>
    <d v="2020-03-31T00:00:00"/>
    <x v="0"/>
    <x v="0"/>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s v="Whitton"/>
  </r>
  <r>
    <s v="17/4238/FUL"/>
    <x v="0"/>
    <m/>
    <d v="2018-02-23T00:00:00"/>
    <d v="2021-02-26T00:00:00"/>
    <d v="2019-02-13T00:00:00"/>
    <d v="2019-10-30T00:00:00"/>
    <x v="0"/>
    <x v="0"/>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s v="Teddington"/>
  </r>
  <r>
    <s v="17/4606/FUL"/>
    <x v="0"/>
    <m/>
    <d v="2018-05-04T00:00:00"/>
    <d v="2021-05-04T00:00:00"/>
    <d v="2018-06-01T00:00:00"/>
    <d v="2019-05-31T00:00:00"/>
    <x v="0"/>
    <x v="0"/>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s v="Ham, Petersham and Richmond Riverside"/>
  </r>
  <r>
    <s v="18/0318/FUL"/>
    <x v="2"/>
    <m/>
    <d v="2018-10-09T00:00:00"/>
    <d v="2021-10-09T00:00:00"/>
    <d v="2018-11-01T00:00:00"/>
    <d v="2020-03-18T00:00:00"/>
    <x v="0"/>
    <x v="0"/>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s v="West Twickenham"/>
  </r>
  <r>
    <s v="18/0433/FUL"/>
    <x v="1"/>
    <m/>
    <d v="2018-07-24T00:00:00"/>
    <d v="2021-07-24T00:00:00"/>
    <d v="2019-05-01T00:00:00"/>
    <d v="2019-09-14T00:00:00"/>
    <x v="0"/>
    <x v="0"/>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s v="St. Margarets and North Twickenham"/>
  </r>
  <r>
    <s v="18/0665/FUL"/>
    <x v="0"/>
    <m/>
    <d v="2018-09-20T00:00:00"/>
    <d v="2021-09-20T00:00:00"/>
    <d v="2018-04-09T00:00:00"/>
    <d v="2019-08-01T00:00:00"/>
    <x v="0"/>
    <x v="0"/>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s v="South Twickenham"/>
  </r>
  <r>
    <s v="18/0737/FUL"/>
    <x v="1"/>
    <m/>
    <d v="2018-12-12T00:00:00"/>
    <d v="2021-12-13T00:00:00"/>
    <d v="2019-01-08T00:00:00"/>
    <d v="2020-02-07T00:00:00"/>
    <x v="0"/>
    <x v="0"/>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s v="Mortlake and Barnes Common"/>
  </r>
  <r>
    <s v="18/0743/FUL"/>
    <x v="0"/>
    <m/>
    <d v="2018-08-23T00:00:00"/>
    <d v="2021-08-23T00:00:00"/>
    <m/>
    <d v="2019-05-28T00:00:00"/>
    <x v="0"/>
    <x v="0"/>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s v="West Twickenham"/>
  </r>
  <r>
    <s v="18/0745/FUL"/>
    <x v="2"/>
    <m/>
    <d v="2018-07-06T00:00:00"/>
    <d v="2021-07-06T00:00:00"/>
    <d v="2018-10-01T00:00:00"/>
    <d v="2019-10-15T00:00:00"/>
    <x v="0"/>
    <x v="0"/>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s v="Teddington"/>
  </r>
  <r>
    <s v="18/0860/GPD15"/>
    <x v="1"/>
    <s v="PA"/>
    <d v="2018-05-08T00:00:00"/>
    <d v="2021-05-08T00:00:00"/>
    <m/>
    <d v="2019-06-14T00:00:00"/>
    <x v="0"/>
    <x v="0"/>
    <m/>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s v="Teddington"/>
  </r>
  <r>
    <s v="18/1175/FUL"/>
    <x v="4"/>
    <m/>
    <d v="2018-10-05T00:00:00"/>
    <d v="2021-10-05T00:00:00"/>
    <d v="2019-05-17T00:00:00"/>
    <d v="2019-09-10T00:00:00"/>
    <x v="0"/>
    <x v="0"/>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s v="North Richmond"/>
  </r>
  <r>
    <s v="18/1360/GPD15"/>
    <x v="1"/>
    <s v="PA"/>
    <d v="2018-06-15T00:00:00"/>
    <d v="2021-06-15T00:00:00"/>
    <d v="2019-05-03T00:00:00"/>
    <d v="2019-09-12T00:00:00"/>
    <x v="0"/>
    <x v="0"/>
    <m/>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s v="East Sheen"/>
  </r>
  <r>
    <s v="18/1566/FUL"/>
    <x v="2"/>
    <m/>
    <d v="2018-09-25T00:00:00"/>
    <d v="2021-09-25T00:00:00"/>
    <d v="2019-01-31T00:00:00"/>
    <d v="2019-10-10T00:00:00"/>
    <x v="0"/>
    <x v="0"/>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s v="St. Margarets and North Twickenham"/>
  </r>
  <r>
    <s v="18/1569/FUL"/>
    <x v="2"/>
    <m/>
    <d v="2018-08-17T00:00:00"/>
    <d v="2022-03-11T00:00:00"/>
    <d v="2019-03-31T00:00:00"/>
    <d v="2019-05-31T00:00:00"/>
    <x v="0"/>
    <x v="0"/>
    <m/>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s v="Twickenham Riverside"/>
  </r>
  <r>
    <s v="18/1722/GPD13"/>
    <x v="1"/>
    <s v="PA"/>
    <d v="2018-07-12T00:00:00"/>
    <d v="2021-07-12T00:00:00"/>
    <d v="2018-04-02T00:00:00"/>
    <d v="2019-10-14T00:00:00"/>
    <x v="0"/>
    <x v="0"/>
    <m/>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s v="Fulwell and Hampton Hill"/>
  </r>
  <r>
    <s v="18/1817/GPD15"/>
    <x v="1"/>
    <s v="PA"/>
    <d v="2018-06-29T00:00:00"/>
    <d v="2021-06-29T00:00:00"/>
    <m/>
    <d v="2020-02-21T00:00:00"/>
    <x v="0"/>
    <x v="0"/>
    <m/>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s v="Fulwell and Hampton Hill"/>
  </r>
  <r>
    <s v="18/2296/ES191"/>
    <x v="2"/>
    <m/>
    <d v="2018-08-20T00:00:00"/>
    <d v="2019-11-29T00:00:00"/>
    <m/>
    <d v="2019-11-29T00:00:00"/>
    <x v="0"/>
    <x v="0"/>
    <m/>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s v="Heathfield"/>
  </r>
  <r>
    <s v="18/2620/FUL"/>
    <x v="4"/>
    <m/>
    <d v="2019-01-04T00:00:00"/>
    <d v="2022-01-04T00:00:00"/>
    <d v="2018-04-02T00:00:00"/>
    <d v="2019-12-02T00:00:00"/>
    <x v="0"/>
    <x v="0"/>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s v="Fulwell and Hampton Hill"/>
  </r>
  <r>
    <s v="19/0141/ES191"/>
    <x v="1"/>
    <m/>
    <d v="2019-06-21T00:00:00"/>
    <d v="2019-06-21T00:00:00"/>
    <d v="2019-06-21T00:00:00"/>
    <d v="2019-06-21T00:00:00"/>
    <x v="0"/>
    <x v="0"/>
    <m/>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s v="St. Margarets and North Twickenham"/>
  </r>
  <r>
    <s v="19/0475/FUL"/>
    <x v="3"/>
    <m/>
    <d v="2019-07-31T00:00:00"/>
    <d v="2022-07-31T00:00:00"/>
    <m/>
    <d v="2020-02-26T00:00:00"/>
    <x v="0"/>
    <x v="0"/>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s v="Fulwell and Hampton Hill"/>
  </r>
  <r>
    <s v="19/0739/FUL"/>
    <x v="2"/>
    <m/>
    <d v="2019-10-23T00:00:00"/>
    <d v="2022-10-23T00:00:00"/>
    <m/>
    <d v="2019-10-23T00:00:00"/>
    <x v="0"/>
    <x v="0"/>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s v="Kew"/>
  </r>
  <r>
    <s v="19/1100/FUL"/>
    <x v="1"/>
    <m/>
    <d v="2019-10-10T00:00:00"/>
    <d v="2022-10-10T00:00:00"/>
    <d v="2019-10-01T00:00:00"/>
    <d v="2020-01-31T00:00:00"/>
    <x v="0"/>
    <x v="0"/>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s v="St. Margarets and North Twickenham"/>
  </r>
  <r>
    <s v="19/1217/ES191"/>
    <x v="2"/>
    <m/>
    <d v="2019-06-11T00:00:00"/>
    <d v="2019-06-11T00:00:00"/>
    <d v="2019-06-11T00:00:00"/>
    <d v="2019-06-11T00:00:00"/>
    <x v="0"/>
    <x v="0"/>
    <m/>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s v="Twickenham Riverside"/>
  </r>
  <r>
    <s v="19/2022/ES191"/>
    <x v="2"/>
    <m/>
    <d v="2019-09-16T00:00:00"/>
    <d v="2022-09-17T00:00:00"/>
    <m/>
    <d v="2019-09-17T00:00:00"/>
    <x v="0"/>
    <x v="0"/>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s v="Teddington"/>
  </r>
  <r>
    <s v="19/2544/FUL"/>
    <x v="1"/>
    <m/>
    <d v="2019-12-10T00:00:00"/>
    <d v="2022-12-10T00:00:00"/>
    <m/>
    <d v="2019-12-14T00:00:00"/>
    <x v="0"/>
    <x v="0"/>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s v="Hampton North"/>
  </r>
  <r>
    <s v="19/3241/FUL"/>
    <x v="4"/>
    <m/>
    <d v="2020-03-13T00:00:00"/>
    <d v="2023-03-16T00:00:00"/>
    <d v="2020-03-16T00:00:00"/>
    <d v="2020-03-16T00:00:00"/>
    <x v="0"/>
    <x v="0"/>
    <m/>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s v="West Twickenham"/>
  </r>
  <r>
    <s v="19/3586/ES191"/>
    <x v="1"/>
    <m/>
    <d v="2020-01-20T00:00:00"/>
    <d v="2020-01-20T00:00:00"/>
    <m/>
    <d v="2020-01-20T00:00:00"/>
    <x v="0"/>
    <x v="0"/>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s v="Heathfield"/>
  </r>
  <r>
    <s v="19/3757/ES191"/>
    <x v="2"/>
    <m/>
    <d v="2020-01-31T00:00:00"/>
    <d v="2020-01-31T00:00:00"/>
    <m/>
    <d v="2020-01-31T00:00:00"/>
    <x v="0"/>
    <x v="0"/>
    <m/>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s v="Twickenham Riverside"/>
  </r>
  <r>
    <s v="19/3854/ES191"/>
    <x v="1"/>
    <m/>
    <d v="2020-02-25T00:00:00"/>
    <d v="2020-02-25T00:00:00"/>
    <m/>
    <d v="2020-02-25T00:00:00"/>
    <x v="0"/>
    <x v="0"/>
    <m/>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s v="Hampton"/>
  </r>
  <r>
    <s v="99/2063"/>
    <x v="0"/>
    <m/>
    <d v="2000-02-03T00:00:00"/>
    <d v="2005-02-03T00:00:00"/>
    <d v="2005-01-14T00:00:00"/>
    <d v="2019-07-18T00:00:00"/>
    <x v="0"/>
    <x v="0"/>
    <m/>
    <s v="Proposed Dwelling House"/>
    <s v="6 Boileau Road Barnes"/>
    <m/>
    <m/>
    <m/>
    <m/>
    <m/>
    <m/>
    <m/>
    <m/>
    <m/>
    <n v="0"/>
    <m/>
    <n v="1"/>
    <m/>
    <m/>
    <m/>
    <m/>
    <m/>
    <m/>
    <n v="0"/>
    <n v="1"/>
    <n v="1"/>
    <n v="0"/>
    <n v="0"/>
    <n v="0"/>
    <n v="0"/>
    <n v="0"/>
    <n v="0"/>
    <n v="0"/>
    <n v="1"/>
    <m/>
    <n v="1"/>
    <n v="0"/>
    <n v="0"/>
    <n v="0"/>
    <n v="0"/>
    <n v="0"/>
    <m/>
    <m/>
    <m/>
    <m/>
    <m/>
    <n v="0"/>
    <n v="522457"/>
    <n v="177328"/>
    <s v="Barnes"/>
  </r>
  <r>
    <s v="13/0998/FUL"/>
    <x v="0"/>
    <m/>
    <d v="2013-11-05T00:00:00"/>
    <d v="2016-11-05T00:00:00"/>
    <d v="2016-08-14T00:00:00"/>
    <m/>
    <x v="1"/>
    <x v="0"/>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s v="Fulwell and Hampton Hill"/>
  </r>
  <r>
    <s v="19/0637/FUL"/>
    <x v="0"/>
    <m/>
    <d v="2020-02-06T00:00:00"/>
    <d v="2023-02-06T00:00:00"/>
    <d v="2020-09-21T00:00:00"/>
    <m/>
    <x v="1"/>
    <x v="0"/>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s v="Kew"/>
  </r>
  <r>
    <s v="19/2246/FUL"/>
    <x v="2"/>
    <m/>
    <d v="2019-10-22T00:00:00"/>
    <d v="2022-10-22T00:00:00"/>
    <m/>
    <d v="2020-06-15T00:00:00"/>
    <x v="1"/>
    <x v="0"/>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s v="Teddington"/>
  </r>
  <r>
    <s v="07/3348/FUL"/>
    <x v="0"/>
    <m/>
    <d v="2008-04-01T00:00:00"/>
    <d v="2011-04-01T00:00:00"/>
    <d v="2012-08-17T00:00:00"/>
    <m/>
    <x v="1"/>
    <x v="0"/>
    <m/>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s v="Ham, Petersham and Richmond Riverside"/>
  </r>
  <r>
    <s v="11/1443/FUL"/>
    <x v="0"/>
    <m/>
    <d v="2012-03-30T00:00:00"/>
    <d v="2015-03-30T00:00:00"/>
    <d v="2015-03-14T00:00:00"/>
    <m/>
    <x v="1"/>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s v="St. Margarets and North Twickenham"/>
  </r>
  <r>
    <s v="13/1327/FUL"/>
    <x v="1"/>
    <m/>
    <d v="2013-09-03T00:00:00"/>
    <d v="2016-09-03T00:00:00"/>
    <d v="2016-08-19T00:00:00"/>
    <m/>
    <x v="1"/>
    <x v="0"/>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s v="Ham, Petersham and Richmond Riverside"/>
  </r>
  <r>
    <s v="14/2118/FUL"/>
    <x v="2"/>
    <m/>
    <d v="2014-07-18T00:00:00"/>
    <d v="2018-01-19T00:00:00"/>
    <d v="2017-10-01T00:00:00"/>
    <m/>
    <x v="1"/>
    <x v="0"/>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s v="East Sheen"/>
  </r>
  <r>
    <s v="14/2257/FUL"/>
    <x v="3"/>
    <m/>
    <d v="2015-03-26T00:00:00"/>
    <d v="2018-03-27T00:00:00"/>
    <d v="2016-06-01T00:00:00"/>
    <m/>
    <x v="1"/>
    <x v="0"/>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s v="Heathfield"/>
  </r>
  <r>
    <s v="14/2797/P3JPA"/>
    <x v="1"/>
    <s v="PA"/>
    <d v="2015-08-20T00:00:00"/>
    <d v="2017-11-27T00:00:00"/>
    <d v="2017-06-30T00:00:00"/>
    <m/>
    <x v="1"/>
    <x v="0"/>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s v="South Twickenham"/>
  </r>
  <r>
    <s v="14/3011/FUL"/>
    <x v="1"/>
    <m/>
    <d v="2015-04-17T00:00:00"/>
    <d v="2018-04-20T00:00:00"/>
    <d v="2018-04-04T00:00:00"/>
    <m/>
    <x v="1"/>
    <x v="0"/>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s v="Teddington"/>
  </r>
  <r>
    <s v="14/3780/FUL"/>
    <x v="3"/>
    <m/>
    <d v="2015-04-30T00:00:00"/>
    <d v="2018-04-30T00:00:00"/>
    <d v="2016-07-01T00:00:00"/>
    <m/>
    <x v="1"/>
    <x v="0"/>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s v="South Richmond"/>
  </r>
  <r>
    <s v="14/4839/FUL"/>
    <x v="0"/>
    <m/>
    <d v="2016-07-14T00:00:00"/>
    <d v="2019-07-14T00:00:00"/>
    <d v="2019-06-01T00:00:00"/>
    <m/>
    <x v="1"/>
    <x v="0"/>
    <m/>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s v="Twickenham Riverside"/>
  </r>
  <r>
    <s v="14/5284/FUL"/>
    <x v="2"/>
    <m/>
    <d v="2015-02-16T00:00:00"/>
    <d v="2018-02-16T00:00:00"/>
    <d v="2018-03-23T00:00:00"/>
    <m/>
    <x v="1"/>
    <x v="0"/>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s v="South Richmond"/>
  </r>
  <r>
    <s v="14/5306/FUL"/>
    <x v="1"/>
    <m/>
    <d v="2015-06-22T00:00:00"/>
    <d v="2018-06-22T00:00:00"/>
    <d v="2017-05-01T00:00:00"/>
    <m/>
    <x v="1"/>
    <x v="0"/>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s v="North Richmond"/>
  </r>
  <r>
    <s v="15/1486/FUL"/>
    <x v="0"/>
    <m/>
    <d v="2015-07-16T00:00:00"/>
    <d v="2018-07-16T00:00:00"/>
    <d v="2018-06-04T00:00:00"/>
    <m/>
    <x v="1"/>
    <x v="0"/>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s v="Heathfield"/>
  </r>
  <r>
    <s v="15/2854/FUL"/>
    <x v="0"/>
    <m/>
    <d v="2016-06-02T00:00:00"/>
    <d v="2019-06-02T00:00:00"/>
    <d v="2019-05-01T00:00:00"/>
    <m/>
    <x v="1"/>
    <x v="1"/>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s v="Ham, Petersham and Richmond Riverside"/>
  </r>
  <r>
    <s v="15/2855/FUL"/>
    <x v="0"/>
    <m/>
    <d v="2016-06-02T00:00:00"/>
    <d v="2019-06-02T00:00:00"/>
    <d v="2019-05-28T00:00:00"/>
    <m/>
    <x v="1"/>
    <x v="1"/>
    <m/>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s v="Ham, Petersham and Richmond Riverside"/>
  </r>
  <r>
    <s v="15/2857/FUL"/>
    <x v="0"/>
    <m/>
    <d v="2016-11-17T00:00:00"/>
    <d v="2019-11-17T00:00:00"/>
    <d v="2019-10-16T00:00:00"/>
    <m/>
    <x v="1"/>
    <x v="1"/>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s v="Ham, Petersham and Richmond Riverside"/>
  </r>
  <r>
    <s v="15/3072/FUL"/>
    <x v="1"/>
    <m/>
    <d v="2016-10-07T00:00:00"/>
    <d v="2019-10-07T00:00:00"/>
    <d v="2018-03-01T00:00:00"/>
    <m/>
    <x v="1"/>
    <x v="0"/>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s v="Teddington"/>
  </r>
  <r>
    <s v="15/3518/FUL"/>
    <x v="0"/>
    <m/>
    <d v="2019-03-08T00:00:00"/>
    <d v="2022-03-08T00:00:00"/>
    <d v="2019-10-01T00:00:00"/>
    <m/>
    <x v="1"/>
    <x v="0"/>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s v="Twickenham Riverside"/>
  </r>
  <r>
    <s v="15/5217/NMA1"/>
    <x v="0"/>
    <m/>
    <d v="2019-10-11T00:00:00"/>
    <d v="2022-10-11T00:00:00"/>
    <d v="2019-10-16T00:00:00"/>
    <m/>
    <x v="1"/>
    <x v="0"/>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s v="South Richmond"/>
  </r>
  <r>
    <s v="15/5351/FUL"/>
    <x v="0"/>
    <m/>
    <d v="2017-04-06T00:00:00"/>
    <d v="2020-04-07T00:00:00"/>
    <d v="2020-02-23T00:00:00"/>
    <m/>
    <x v="1"/>
    <x v="0"/>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s v="West Twickenham"/>
  </r>
  <r>
    <s v="16/0058/FUL"/>
    <x v="1"/>
    <m/>
    <d v="2016-07-14T00:00:00"/>
    <d v="2019-07-14T00:00:00"/>
    <d v="2019-07-10T00:00:00"/>
    <m/>
    <x v="1"/>
    <x v="0"/>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s v="South Richmond"/>
  </r>
  <r>
    <s v="16/0432/FUL"/>
    <x v="0"/>
    <m/>
    <d v="2016-08-31T00:00:00"/>
    <d v="2019-08-31T00:00:00"/>
    <d v="2017-05-09T00:00:00"/>
    <m/>
    <x v="1"/>
    <x v="0"/>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s v="Barnes"/>
  </r>
  <r>
    <s v="16/0680/FUL"/>
    <x v="4"/>
    <m/>
    <d v="2016-04-19T00:00:00"/>
    <d v="2019-04-19T00:00:00"/>
    <d v="2016-07-01T00:00:00"/>
    <m/>
    <x v="1"/>
    <x v="0"/>
    <m/>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s v="East Sheen"/>
  </r>
  <r>
    <s v="16/0905/FUL"/>
    <x v="0"/>
    <m/>
    <d v="2017-02-23T00:00:00"/>
    <d v="2020-02-23T00:00:00"/>
    <d v="2020-02-19T00:00:00"/>
    <m/>
    <x v="1"/>
    <x v="0"/>
    <m/>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s v="Kew"/>
  </r>
  <r>
    <s v="16/1145/FUL"/>
    <x v="2"/>
    <m/>
    <d v="2016-12-15T00:00:00"/>
    <d v="2019-12-15T00:00:00"/>
    <d v="2019-02-01T00:00:00"/>
    <m/>
    <x v="1"/>
    <x v="0"/>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s v="Hampton Wick"/>
  </r>
  <r>
    <s v="16/1373/FUL"/>
    <x v="1"/>
    <m/>
    <d v="2016-09-19T00:00:00"/>
    <d v="2019-09-19T00:00:00"/>
    <d v="2017-11-24T00:00:00"/>
    <m/>
    <x v="1"/>
    <x v="0"/>
    <m/>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s v="South Richmond"/>
  </r>
  <r>
    <s v="16/1882/FUL"/>
    <x v="0"/>
    <m/>
    <d v="2017-05-30T00:00:00"/>
    <d v="2020-05-30T00:00:00"/>
    <d v="2019-04-01T00:00:00"/>
    <m/>
    <x v="1"/>
    <x v="0"/>
    <m/>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s v="Barnes"/>
  </r>
  <r>
    <s v="16/1903/FUL"/>
    <x v="1"/>
    <m/>
    <d v="2016-11-15T00:00:00"/>
    <d v="2020-11-01T00:00:00"/>
    <d v="2019-01-14T00:00:00"/>
    <d v="2020-05-18T00:00:00"/>
    <x v="1"/>
    <x v="0"/>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s v="Kew"/>
  </r>
  <r>
    <s v="16/2306/FUL"/>
    <x v="2"/>
    <m/>
    <d v="2016-08-17T00:00:00"/>
    <d v="2019-08-17T00:00:00"/>
    <d v="2019-01-14T00:00:00"/>
    <m/>
    <x v="1"/>
    <x v="0"/>
    <m/>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s v="Ham, Petersham and Richmond Riverside"/>
  </r>
  <r>
    <s v="16/2637/FUL"/>
    <x v="0"/>
    <m/>
    <d v="2017-03-07T00:00:00"/>
    <d v="2020-03-07T00:00:00"/>
    <d v="2017-05-10T00:00:00"/>
    <m/>
    <x v="1"/>
    <x v="0"/>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s v="Barnes"/>
  </r>
  <r>
    <s v="16/2647/FUL"/>
    <x v="0"/>
    <m/>
    <d v="2017-10-10T00:00:00"/>
    <d v="2020-10-10T00:00:00"/>
    <d v="2019-12-02T00:00:00"/>
    <m/>
    <x v="1"/>
    <x v="2"/>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s v="Teddington"/>
  </r>
  <r>
    <s v="16/2709/FUL"/>
    <x v="0"/>
    <m/>
    <d v="2017-04-10T00:00:00"/>
    <d v="2020-04-10T00:00:00"/>
    <d v="2020-03-22T00:00:00"/>
    <m/>
    <x v="1"/>
    <x v="0"/>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s v="Barnes"/>
  </r>
  <r>
    <s v="16/3293/RES"/>
    <x v="0"/>
    <m/>
    <d v="2016-11-03T00:00:00"/>
    <d v="2019-11-03T00:00:00"/>
    <d v="2017-03-13T00:00:00"/>
    <m/>
    <x v="1"/>
    <x v="1"/>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s v="St. Margarets and North Twickenham"/>
  </r>
  <r>
    <s v="16/3293/RES"/>
    <x v="0"/>
    <m/>
    <d v="2016-11-03T00:00:00"/>
    <d v="2019-11-03T00:00:00"/>
    <d v="2017-03-13T00:00:00"/>
    <m/>
    <x v="1"/>
    <x v="0"/>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s v="St. Margarets and North Twickenham"/>
  </r>
  <r>
    <s v="16/3293/RES"/>
    <x v="0"/>
    <m/>
    <d v="2016-11-03T00:00:00"/>
    <d v="2019-11-03T00:00:00"/>
    <d v="2017-03-13T00:00:00"/>
    <m/>
    <x v="1"/>
    <x v="2"/>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s v="St. Margarets and North Twickenham"/>
  </r>
  <r>
    <s v="16/3450/FUL"/>
    <x v="0"/>
    <m/>
    <d v="2017-10-16T00:00:00"/>
    <d v="2020-10-16T00:00:00"/>
    <d v="2018-09-03T00:00:00"/>
    <d v="2020-09-09T00:00:00"/>
    <x v="1"/>
    <x v="0"/>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s v="South Twickenham"/>
  </r>
  <r>
    <s v="16/3506/FUL"/>
    <x v="0"/>
    <m/>
    <d v="2018-10-11T00:00:00"/>
    <d v="2021-10-11T00:00:00"/>
    <d v="2019-10-14T00:00:00"/>
    <m/>
    <x v="1"/>
    <x v="1"/>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s v="Whitton"/>
  </r>
  <r>
    <s v="16/3506/FUL"/>
    <x v="0"/>
    <m/>
    <d v="2018-10-11T00:00:00"/>
    <d v="2021-10-11T00:00:00"/>
    <d v="2019-10-14T00:00:00"/>
    <m/>
    <x v="1"/>
    <x v="2"/>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s v="Whitton"/>
  </r>
  <r>
    <s v="16/3506/FUL"/>
    <x v="0"/>
    <m/>
    <d v="2018-10-11T00:00:00"/>
    <d v="2021-10-11T00:00:00"/>
    <d v="2019-10-14T00:00:00"/>
    <m/>
    <x v="1"/>
    <x v="3"/>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s v="Whitton"/>
  </r>
  <r>
    <s v="16/3552/FUL"/>
    <x v="3"/>
    <m/>
    <d v="2018-04-24T00:00:00"/>
    <d v="2021-04-24T00:00:00"/>
    <d v="2018-04-25T00:00:00"/>
    <m/>
    <x v="1"/>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s v="Ham, Petersham and Richmond Riverside"/>
  </r>
  <r>
    <s v="16/3625/FUL"/>
    <x v="0"/>
    <m/>
    <d v="2017-11-30T00:00:00"/>
    <d v="2020-11-30T00:00:00"/>
    <d v="2018-09-01T00:00:00"/>
    <m/>
    <x v="1"/>
    <x v="0"/>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s v="Twickenham Riverside"/>
  </r>
  <r>
    <s v="16/3961/FUL"/>
    <x v="0"/>
    <m/>
    <d v="2017-02-20T00:00:00"/>
    <d v="2020-08-10T00:00:00"/>
    <d v="2019-01-14T00:00:00"/>
    <m/>
    <x v="1"/>
    <x v="0"/>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s v="Mortlake and Barnes Common"/>
  </r>
  <r>
    <s v="16/4127/FUL"/>
    <x v="2"/>
    <m/>
    <d v="2017-12-04T00:00:00"/>
    <d v="2021-01-30T00:00:00"/>
    <d v="2019-03-01T00:00:00"/>
    <m/>
    <x v="1"/>
    <x v="0"/>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s v="Teddington"/>
  </r>
  <r>
    <s v="16/4405/FUL"/>
    <x v="0"/>
    <m/>
    <d v="2017-03-27T00:00:00"/>
    <d v="2020-03-27T00:00:00"/>
    <d v="2017-09-01T00:00:00"/>
    <m/>
    <x v="1"/>
    <x v="0"/>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s v="West Twickenham"/>
  </r>
  <r>
    <s v="16/4635/FUL"/>
    <x v="0"/>
    <m/>
    <d v="2017-03-07T00:00:00"/>
    <d v="2020-03-07T00:00:00"/>
    <d v="2020-03-01T00:00:00"/>
    <m/>
    <x v="1"/>
    <x v="0"/>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s v="Whitton"/>
  </r>
  <r>
    <s v="16/4772/GPD15"/>
    <x v="1"/>
    <s v="PA"/>
    <d v="2017-02-24T00:00:00"/>
    <d v="2020-12-21T00:00:00"/>
    <d v="2019-10-07T00:00:00"/>
    <m/>
    <x v="1"/>
    <x v="0"/>
    <m/>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s v="Twickenham Riverside"/>
  </r>
  <r>
    <s v="16/4890/FUL"/>
    <x v="0"/>
    <m/>
    <d v="2017-09-08T00:00:00"/>
    <d v="2020-09-08T00:00:00"/>
    <d v="2019-03-30T00:00:00"/>
    <m/>
    <x v="1"/>
    <x v="0"/>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s v="Kew"/>
  </r>
  <r>
    <s v="16/4902/FUL"/>
    <x v="0"/>
    <m/>
    <d v="2017-06-22T00:00:00"/>
    <d v="2021-11-12T00:00:00"/>
    <d v="2019-10-09T00:00:00"/>
    <m/>
    <x v="1"/>
    <x v="0"/>
    <m/>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s v="South Richmond"/>
  </r>
  <r>
    <s v="17/0323/FUL"/>
    <x v="0"/>
    <m/>
    <d v="2018-03-22T00:00:00"/>
    <d v="2021-03-23T00:00:00"/>
    <d v="2020-03-31T00:00:00"/>
    <m/>
    <x v="1"/>
    <x v="0"/>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s v="Fulwell and Hampton Hill"/>
  </r>
  <r>
    <s v="17/0330/FUL"/>
    <x v="0"/>
    <m/>
    <d v="2017-08-07T00:00:00"/>
    <d v="2020-08-07T00:00:00"/>
    <d v="2018-03-20T00:00:00"/>
    <m/>
    <x v="1"/>
    <x v="0"/>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s v="Hampton Wick"/>
  </r>
  <r>
    <s v="17/1285/GPD15"/>
    <x v="1"/>
    <s v="PA"/>
    <d v="2017-05-26T00:00:00"/>
    <d v="2021-12-08T00:00:00"/>
    <d v="2020-01-13T00:00:00"/>
    <m/>
    <x v="1"/>
    <x v="0"/>
    <m/>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s v="Kew"/>
  </r>
  <r>
    <s v="17/1286/VRC"/>
    <x v="0"/>
    <m/>
    <d v="2017-10-05T00:00:00"/>
    <d v="2017-12-09T00:00:00"/>
    <d v="2017-10-05T00:00:00"/>
    <d v="2020-05-15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s v="Teddington"/>
  </r>
  <r>
    <s v="17/1453/FUL"/>
    <x v="1"/>
    <m/>
    <d v="2018-04-24T00:00:00"/>
    <d v="2021-04-24T00:00:00"/>
    <d v="2019-10-03T00:00:00"/>
    <m/>
    <x v="1"/>
    <x v="0"/>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s v="South Twickenham"/>
  </r>
  <r>
    <s v="17/1937/FUL"/>
    <x v="1"/>
    <m/>
    <d v="2018-09-13T00:00:00"/>
    <d v="2021-09-13T00:00:00"/>
    <d v="2019-10-01T00:00:00"/>
    <m/>
    <x v="1"/>
    <x v="0"/>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s v="South Twickenham"/>
  </r>
  <r>
    <s v="17/1996/FUL"/>
    <x v="0"/>
    <m/>
    <d v="2017-11-28T00:00:00"/>
    <d v="2020-11-28T00:00:00"/>
    <d v="2019-02-01T00:00:00"/>
    <m/>
    <x v="1"/>
    <x v="0"/>
    <m/>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s v="North Richmond"/>
  </r>
  <r>
    <s v="17/2488/FUL"/>
    <x v="0"/>
    <m/>
    <d v="2017-08-25T00:00:00"/>
    <d v="2021-04-06T00:00:00"/>
    <d v="2018-12-01T00:00:00"/>
    <m/>
    <x v="1"/>
    <x v="0"/>
    <m/>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s v="East Sheen"/>
  </r>
  <r>
    <s v="17/2769/FUL"/>
    <x v="0"/>
    <m/>
    <d v="2018-04-13T00:00:00"/>
    <d v="2021-04-13T00:00:00"/>
    <d v="2018-11-30T00:00:00"/>
    <m/>
    <x v="1"/>
    <x v="0"/>
    <m/>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s v="Ham, Petersham and Richmond Riverside"/>
  </r>
  <r>
    <s v="17/2939/FUL"/>
    <x v="1"/>
    <m/>
    <d v="2017-11-09T00:00:00"/>
    <d v="2020-11-09T00:00:00"/>
    <d v="2018-09-04T00:00:00"/>
    <m/>
    <x v="1"/>
    <x v="0"/>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s v="Mortlake and Barnes Common"/>
  </r>
  <r>
    <s v="17/3667/FUL"/>
    <x v="0"/>
    <m/>
    <d v="2018-04-25T00:00:00"/>
    <d v="2021-04-25T00:00:00"/>
    <d v="2020-03-02T00:00:00"/>
    <m/>
    <x v="1"/>
    <x v="0"/>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s v="Ham, Petersham and Richmond Riverside"/>
  </r>
  <r>
    <s v="17/4268/FUL"/>
    <x v="0"/>
    <m/>
    <d v="2018-05-09T00:00:00"/>
    <d v="2021-05-09T00:00:00"/>
    <d v="2019-03-01T00:00:00"/>
    <m/>
    <x v="1"/>
    <x v="0"/>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s v="Barnes"/>
  </r>
  <r>
    <s v="17/4303/FUL"/>
    <x v="4"/>
    <m/>
    <d v="2018-07-20T00:00:00"/>
    <d v="2021-07-20T00:00:00"/>
    <m/>
    <d v="2020-07-07T00:00:00"/>
    <x v="1"/>
    <x v="0"/>
    <m/>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s v="Fulwell and Hampton Hill"/>
  </r>
  <r>
    <s v="17/4368/FUL"/>
    <x v="3"/>
    <m/>
    <d v="2019-03-06T00:00:00"/>
    <d v="2022-03-07T00:00:00"/>
    <d v="2019-09-02T00:00:00"/>
    <m/>
    <x v="1"/>
    <x v="0"/>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s v="Hampton North"/>
  </r>
  <r>
    <s v="17/4517/VRC"/>
    <x v="0"/>
    <m/>
    <d v="2018-02-26T00:00:00"/>
    <d v="2021-02-26T00:00:00"/>
    <d v="2019-03-01T00:00:00"/>
    <d v="2020-08-13T00:00:00"/>
    <x v="1"/>
    <x v="0"/>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s v="East Sheen"/>
  </r>
  <r>
    <s v="18/0111/FUL"/>
    <x v="0"/>
    <m/>
    <d v="2018-06-27T00:00:00"/>
    <d v="2021-06-27T00:00:00"/>
    <d v="2019-06-15T00:00:00"/>
    <d v="2020-07-01T00:00:00"/>
    <x v="1"/>
    <x v="0"/>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s v="West Twickenham"/>
  </r>
  <r>
    <s v="18/0216/FUL"/>
    <x v="2"/>
    <m/>
    <d v="2018-12-05T00:00:00"/>
    <d v="2021-12-05T00:00:00"/>
    <d v="2019-11-11T00:00:00"/>
    <m/>
    <x v="1"/>
    <x v="0"/>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s v="East Sheen"/>
  </r>
  <r>
    <s v="18/0282/FUL"/>
    <x v="0"/>
    <m/>
    <d v="2018-04-03T00:00:00"/>
    <d v="2021-04-03T00:00:00"/>
    <d v="2019-03-01T00:00:00"/>
    <m/>
    <x v="1"/>
    <x v="0"/>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s v="Mortlake and Barnes Common"/>
  </r>
  <r>
    <s v="18/0449/FUL"/>
    <x v="2"/>
    <m/>
    <d v="2018-09-07T00:00:00"/>
    <d v="2021-09-07T00:00:00"/>
    <d v="2018-11-01T00:00:00"/>
    <m/>
    <x v="1"/>
    <x v="0"/>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s v="Hampton"/>
  </r>
  <r>
    <s v="18/0692/FUL"/>
    <x v="0"/>
    <m/>
    <d v="2018-08-17T00:00:00"/>
    <d v="2021-08-17T00:00:00"/>
    <d v="2019-08-12T00:00:00"/>
    <m/>
    <x v="1"/>
    <x v="0"/>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s v="Hampton"/>
  </r>
  <r>
    <s v="18/0771/FUL"/>
    <x v="0"/>
    <m/>
    <d v="2018-06-21T00:00:00"/>
    <d v="2021-06-21T00:00:00"/>
    <d v="2018-12-01T00:00:00"/>
    <m/>
    <x v="1"/>
    <x v="0"/>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s v="Hampton North"/>
  </r>
  <r>
    <s v="18/0929/FUL"/>
    <x v="3"/>
    <m/>
    <d v="2018-11-07T00:00:00"/>
    <d v="2021-11-07T00:00:00"/>
    <d v="2018-12-03T00:00:00"/>
    <d v="2020-06-12T00:00:00"/>
    <x v="1"/>
    <x v="0"/>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s v="Fulwell and Hampton Hill"/>
  </r>
  <r>
    <s v="18/0946/FUL"/>
    <x v="1"/>
    <m/>
    <d v="2018-06-04T00:00:00"/>
    <d v="2021-06-04T00:00:00"/>
    <d v="2020-01-13T00:00:00"/>
    <m/>
    <x v="1"/>
    <x v="0"/>
    <m/>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s v="Kew"/>
  </r>
  <r>
    <s v="18/1619/FUL"/>
    <x v="4"/>
    <m/>
    <d v="2019-05-28T00:00:00"/>
    <d v="2022-05-28T00:00:00"/>
    <d v="2019-08-07T00:00:00"/>
    <d v="2020-05-12T00:00:00"/>
    <x v="1"/>
    <x v="0"/>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s v="East Sheen"/>
  </r>
  <r>
    <s v="18/1767/FUL"/>
    <x v="1"/>
    <m/>
    <d v="2019-01-11T00:00:00"/>
    <d v="2022-01-11T00:00:00"/>
    <d v="2019-03-01T00:00:00"/>
    <d v="2020-05-11T00:00:00"/>
    <x v="1"/>
    <x v="0"/>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s v="Fulwell and Hampton Hill"/>
  </r>
  <r>
    <s v="18/1808/FUL"/>
    <x v="0"/>
    <m/>
    <d v="2018-11-19T00:00:00"/>
    <d v="2021-11-19T00:00:00"/>
    <d v="2019-10-16T00:00:00"/>
    <m/>
    <x v="1"/>
    <x v="0"/>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s v="Teddington"/>
  </r>
  <r>
    <s v="18/2114/FUL"/>
    <x v="1"/>
    <m/>
    <d v="2018-12-20T00:00:00"/>
    <d v="2021-12-20T00:00:00"/>
    <d v="2019-02-01T00:00:00"/>
    <d v="2020-05-04T00:00:00"/>
    <x v="1"/>
    <x v="0"/>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s v="Mortlake and Barnes Common"/>
  </r>
  <r>
    <s v="18/2235/VRC"/>
    <x v="1"/>
    <m/>
    <d v="2018-09-25T00:00:00"/>
    <d v="2021-09-25T00:00:00"/>
    <d v="2019-10-01T00:00:00"/>
    <m/>
    <x v="1"/>
    <x v="0"/>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s v="Hampton"/>
  </r>
  <r>
    <s v="18/2322/FUL"/>
    <x v="1"/>
    <m/>
    <d v="2018-11-13T00:00:00"/>
    <d v="2022-05-30T00:00:00"/>
    <d v="2020-01-13T00:00:00"/>
    <m/>
    <x v="1"/>
    <x v="0"/>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s v="Kew"/>
  </r>
  <r>
    <s v="18/2494/FUL"/>
    <x v="0"/>
    <m/>
    <d v="2019-03-22T00:00:00"/>
    <d v="2022-03-22T00:00:00"/>
    <d v="2020-01-29T00:00:00"/>
    <m/>
    <x v="1"/>
    <x v="0"/>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s v="East Sheen"/>
  </r>
  <r>
    <s v="18/2928/FUL"/>
    <x v="1"/>
    <m/>
    <d v="2019-03-08T00:00:00"/>
    <d v="2022-03-08T00:00:00"/>
    <d v="2019-03-29T00:00:00"/>
    <m/>
    <x v="1"/>
    <x v="0"/>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s v="Teddington"/>
  </r>
  <r>
    <s v="18/3515/FUL"/>
    <x v="2"/>
    <m/>
    <d v="2019-02-18T00:00:00"/>
    <d v="2022-02-18T00:00:00"/>
    <d v="2019-10-01T00:00:00"/>
    <d v="2020-08-13T00:00:00"/>
    <x v="1"/>
    <x v="0"/>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s v="East Sheen"/>
  </r>
  <r>
    <s v="18/3768/FUL"/>
    <x v="1"/>
    <m/>
    <d v="2019-03-26T00:00:00"/>
    <d v="2022-03-26T00:00:00"/>
    <d v="2020-01-13T00:00:00"/>
    <m/>
    <x v="1"/>
    <x v="0"/>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s v="Hampton"/>
  </r>
  <r>
    <s v="18/3804/FUL"/>
    <x v="0"/>
    <m/>
    <d v="2019-05-14T00:00:00"/>
    <d v="2022-05-14T00:00:00"/>
    <d v="2019-10-17T00:00:00"/>
    <m/>
    <x v="1"/>
    <x v="0"/>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s v="Hampton"/>
  </r>
  <r>
    <s v="18/3815/GPD15"/>
    <x v="1"/>
    <s v="PA"/>
    <d v="2019-01-18T00:00:00"/>
    <d v="2022-01-18T00:00:00"/>
    <d v="2019-11-15T00:00:00"/>
    <m/>
    <x v="1"/>
    <x v="0"/>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s v="Hampton Wick"/>
  </r>
  <r>
    <s v="18/3941/GPD15"/>
    <x v="1"/>
    <s v="PA"/>
    <d v="2019-01-30T00:00:00"/>
    <d v="2022-01-30T00:00:00"/>
    <d v="2019-09-14T00:00:00"/>
    <d v="2020-09-02T00:00:00"/>
    <x v="1"/>
    <x v="0"/>
    <m/>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s v="Kew"/>
  </r>
  <r>
    <s v="19/0092/FUL"/>
    <x v="3"/>
    <m/>
    <d v="2019-07-03T00:00:00"/>
    <d v="2022-07-03T00:00:00"/>
    <d v="2019-08-14T00:00:00"/>
    <d v="2020-09-15T00:00:00"/>
    <x v="1"/>
    <x v="0"/>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s v="Whitton"/>
  </r>
  <r>
    <s v="19/0111/FUL"/>
    <x v="3"/>
    <m/>
    <d v="2019-12-12T00:00:00"/>
    <d v="2022-12-12T00:00:00"/>
    <d v="2020-03-30T00:00:00"/>
    <m/>
    <x v="1"/>
    <x v="0"/>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s v="Hampton Wick"/>
  </r>
  <r>
    <s v="19/0181/GPD15"/>
    <x v="1"/>
    <s v="PA"/>
    <d v="2019-03-06T00:00:00"/>
    <d v="2022-03-06T00:00:00"/>
    <d v="2019-05-13T00:00:00"/>
    <d v="2020-07-02T00:00:00"/>
    <x v="1"/>
    <x v="0"/>
    <m/>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s v="East Sheen"/>
  </r>
  <r>
    <s v="19/0347/GPD15"/>
    <x v="1"/>
    <s v="PA"/>
    <d v="2019-03-12T00:00:00"/>
    <d v="2022-03-13T00:00:00"/>
    <d v="2019-04-01T00:00:00"/>
    <m/>
    <x v="1"/>
    <x v="0"/>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s v="South Twickenham"/>
  </r>
  <r>
    <s v="19/0386/FUL"/>
    <x v="0"/>
    <m/>
    <d v="2019-07-05T00:00:00"/>
    <d v="2022-07-05T00:00:00"/>
    <d v="2020-01-06T00:00:00"/>
    <m/>
    <x v="1"/>
    <x v="0"/>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s v="Whitton"/>
  </r>
  <r>
    <s v="19/0551/FUL"/>
    <x v="2"/>
    <m/>
    <d v="2019-08-21T00:00:00"/>
    <d v="2022-08-21T00:00:00"/>
    <d v="2019-11-04T00:00:00"/>
    <m/>
    <x v="1"/>
    <x v="0"/>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s v="North Richmond"/>
  </r>
  <r>
    <s v="19/0772/GPD15"/>
    <x v="1"/>
    <s v="PA"/>
    <d v="2019-05-09T00:00:00"/>
    <d v="2022-05-09T00:00:00"/>
    <d v="2020-03-02T00:00:00"/>
    <m/>
    <x v="1"/>
    <x v="0"/>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s v="West Twickenham"/>
  </r>
  <r>
    <s v="19/0867/FUL"/>
    <x v="3"/>
    <m/>
    <d v="2019-06-03T00:00:00"/>
    <d v="2022-06-04T00:00:00"/>
    <d v="2019-09-23T00:00:00"/>
    <d v="2020-06-04T00:00:00"/>
    <x v="1"/>
    <x v="0"/>
    <m/>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s v="St. Margarets and North Twickenham"/>
  </r>
  <r>
    <s v="19/0893/FUL"/>
    <x v="1"/>
    <m/>
    <d v="2019-08-12T00:00:00"/>
    <d v="2022-08-12T00:00:00"/>
    <d v="2020-02-03T00:00:00"/>
    <m/>
    <x v="1"/>
    <x v="0"/>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s v="Kew"/>
  </r>
  <r>
    <s v="19/0950/FUL"/>
    <x v="1"/>
    <m/>
    <d v="2019-08-13T00:00:00"/>
    <d v="2022-08-13T00:00:00"/>
    <d v="2020-01-28T00:00:00"/>
    <m/>
    <x v="1"/>
    <x v="0"/>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s v="South Richmond"/>
  </r>
  <r>
    <s v="19/0954/VRC"/>
    <x v="0"/>
    <m/>
    <d v="2019-10-16T00:00:00"/>
    <d v="2020-10-06T00:00:00"/>
    <d v="2019-07-24T00:00:00"/>
    <m/>
    <x v="1"/>
    <x v="0"/>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s v="South Richmond"/>
  </r>
  <r>
    <s v="19/0974/FUL"/>
    <x v="2"/>
    <m/>
    <d v="2019-08-02T00:00:00"/>
    <d v="2022-08-02T00:00:00"/>
    <d v="2020-02-11T00:00:00"/>
    <m/>
    <x v="1"/>
    <x v="0"/>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s v="Hampton Wick"/>
  </r>
  <r>
    <s v="19/1332/GPD13"/>
    <x v="1"/>
    <s v="PA"/>
    <d v="2019-07-11T00:00:00"/>
    <d v="2022-07-11T00:00:00"/>
    <d v="2019-08-01T00:00:00"/>
    <d v="2020-06-05T00:00:00"/>
    <x v="1"/>
    <x v="0"/>
    <m/>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s v="Whitton"/>
  </r>
  <r>
    <s v="19/1455/FUL"/>
    <x v="2"/>
    <m/>
    <d v="2019-08-06T00:00:00"/>
    <d v="2022-08-06T00:00:00"/>
    <d v="2020-01-16T00:00:00"/>
    <m/>
    <x v="1"/>
    <x v="0"/>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s v="East Sheen"/>
  </r>
  <r>
    <s v="19/1502/FUL"/>
    <x v="1"/>
    <m/>
    <d v="2019-07-22T00:00:00"/>
    <d v="2022-07-22T00:00:00"/>
    <d v="2019-09-19T00:00:00"/>
    <d v="2020-07-30T00:00:00"/>
    <x v="1"/>
    <x v="0"/>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s v="Mortlake and Barnes Common"/>
  </r>
  <r>
    <s v="19/1620/GPD15"/>
    <x v="1"/>
    <s v="PA"/>
    <d v="2019-07-26T00:00:00"/>
    <d v="2021-04-03T00:00:00"/>
    <m/>
    <d v="2020-04-20T00:00:00"/>
    <x v="1"/>
    <x v="0"/>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s v="North Richmond"/>
  </r>
  <r>
    <s v="19/1622/FUL"/>
    <x v="1"/>
    <m/>
    <d v="2019-10-18T00:00:00"/>
    <d v="2022-10-18T00:00:00"/>
    <d v="2020-03-31T00:00:00"/>
    <m/>
    <x v="1"/>
    <x v="0"/>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s v="West Twickenham"/>
  </r>
  <r>
    <s v="19/1978/FUL"/>
    <x v="2"/>
    <m/>
    <d v="2019-11-11T00:00:00"/>
    <d v="2022-11-11T00:00:00"/>
    <d v="2019-11-18T00:00:00"/>
    <m/>
    <x v="1"/>
    <x v="0"/>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s v="South Richmond"/>
  </r>
  <r>
    <s v="19/2377/GPD15"/>
    <x v="1"/>
    <s v="PA"/>
    <d v="2019-09-30T00:00:00"/>
    <d v="2022-09-30T00:00:00"/>
    <d v="2020-02-17T00:00:00"/>
    <m/>
    <x v="1"/>
    <x v="0"/>
    <m/>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s v="St. Margarets and North Twickenham"/>
  </r>
  <r>
    <s v="19/3852/GPD15"/>
    <x v="1"/>
    <s v="PA"/>
    <d v="2020-02-06T00:00:00"/>
    <d v="2023-02-06T00:00:00"/>
    <d v="2020-02-10T00:00:00"/>
    <m/>
    <x v="1"/>
    <x v="0"/>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s v="Mortlake and Barnes Common"/>
  </r>
  <r>
    <s v="19/3913/GPD15"/>
    <x v="1"/>
    <s v="PA"/>
    <d v="2020-02-14T00:00:00"/>
    <d v="2020-06-30T00:00:00"/>
    <d v="2020-03-02T00:00:00"/>
    <m/>
    <x v="1"/>
    <x v="0"/>
    <m/>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s v="St. Margarets and North Twickenham"/>
  </r>
  <r>
    <s v="19/1669/FUL"/>
    <x v="1"/>
    <m/>
    <d v="2019-08-23T00:00:00"/>
    <d v="2022-08-23T00:00:00"/>
    <d v="2019-11-11T00:00:00"/>
    <m/>
    <x v="1"/>
    <x v="0"/>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s v="Ham, Petersham and Richmond Riverside"/>
  </r>
  <r>
    <s v="15/2204/FUL"/>
    <x v="0"/>
    <m/>
    <d v="2018-07-03T00:00:00"/>
    <d v="2021-07-03T00:00:00"/>
    <m/>
    <m/>
    <x v="2"/>
    <x v="0"/>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s v="Whitton"/>
  </r>
  <r>
    <s v="15/3296/FUL"/>
    <x v="0"/>
    <m/>
    <d v="2019-08-13T00:00:00"/>
    <d v="2022-08-13T00:00:00"/>
    <m/>
    <m/>
    <x v="2"/>
    <x v="1"/>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s v="Hampton Wick"/>
  </r>
  <r>
    <s v="15/3297/FUL"/>
    <x v="0"/>
    <m/>
    <d v="2019-08-13T00:00:00"/>
    <d v="2022-08-13T00:00:00"/>
    <m/>
    <m/>
    <x v="2"/>
    <x v="1"/>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s v="Hampton Wick"/>
  </r>
  <r>
    <s v="15/4581/FUL"/>
    <x v="0"/>
    <m/>
    <d v="2018-04-23T00:00:00"/>
    <d v="2021-04-23T00:00:00"/>
    <m/>
    <m/>
    <x v="2"/>
    <x v="0"/>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s v="Hampton"/>
  </r>
  <r>
    <s v="15/4586/FUL"/>
    <x v="0"/>
    <m/>
    <d v="2017-07-11T00:00:00"/>
    <d v="2020-07-11T00:00:00"/>
    <m/>
    <m/>
    <x v="2"/>
    <x v="0"/>
    <m/>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s v="South Twickenham"/>
  </r>
  <r>
    <s v="16/0510/FUL"/>
    <x v="1"/>
    <m/>
    <d v="2018-07-19T00:00:00"/>
    <d v="2021-07-19T00:00:00"/>
    <m/>
    <m/>
    <x v="2"/>
    <x v="0"/>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s v="South Richmond"/>
  </r>
  <r>
    <s v="16/0606/FUL"/>
    <x v="3"/>
    <m/>
    <d v="2017-09-05T00:00:00"/>
    <d v="2020-09-05T00:00:00"/>
    <m/>
    <m/>
    <x v="2"/>
    <x v="0"/>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s v="Hampton"/>
  </r>
  <r>
    <s v="16/0647/FUL"/>
    <x v="0"/>
    <m/>
    <d v="2017-05-30T00:00:00"/>
    <d v="2021-04-16T00:00:00"/>
    <m/>
    <m/>
    <x v="2"/>
    <x v="0"/>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s v="Hampton Wick"/>
  </r>
  <r>
    <s v="16/2288/FUL"/>
    <x v="4"/>
    <m/>
    <d v="2018-08-22T00:00:00"/>
    <d v="2021-08-22T00:00:00"/>
    <d v="2020-09-15T00:00:00"/>
    <m/>
    <x v="2"/>
    <x v="0"/>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s v="Fulwell and Hampton Hill"/>
  </r>
  <r>
    <s v="16/2704/FUL"/>
    <x v="0"/>
    <m/>
    <d v="2018-01-25T00:00:00"/>
    <d v="2021-01-25T00:00:00"/>
    <m/>
    <m/>
    <x v="2"/>
    <x v="0"/>
    <m/>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s v="South Richmond"/>
  </r>
  <r>
    <s v="16/2736/FUL"/>
    <x v="0"/>
    <m/>
    <d v="2017-05-26T00:00:00"/>
    <d v="2020-05-26T00:00:00"/>
    <m/>
    <m/>
    <x v="2"/>
    <x v="0"/>
    <m/>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s v="Ham, Petersham and Richmond Riverside"/>
  </r>
  <r>
    <s v="16/2822/FUL"/>
    <x v="4"/>
    <m/>
    <d v="2017-05-11T00:00:00"/>
    <d v="2020-05-11T00:00:00"/>
    <m/>
    <m/>
    <x v="2"/>
    <x v="0"/>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s v="West Twickenham"/>
  </r>
  <r>
    <s v="16/4384/FUL"/>
    <x v="0"/>
    <m/>
    <d v="2017-10-27T00:00:00"/>
    <d v="2020-10-27T00:00:00"/>
    <m/>
    <m/>
    <x v="2"/>
    <x v="0"/>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s v="Mortlake and Barnes Common"/>
  </r>
  <r>
    <s v="16/4553/FUL"/>
    <x v="0"/>
    <m/>
    <d v="2018-05-31T00:00:00"/>
    <d v="2021-05-31T00:00:00"/>
    <m/>
    <m/>
    <x v="2"/>
    <x v="0"/>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s v="Fulwell and Hampton Hill"/>
  </r>
  <r>
    <s v="16/4587/FUL"/>
    <x v="1"/>
    <m/>
    <d v="2017-06-27T00:00:00"/>
    <d v="2020-06-27T00:00:00"/>
    <d v="2020-06-02T00:00:00"/>
    <m/>
    <x v="2"/>
    <x v="0"/>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s v="East Sheen"/>
  </r>
  <r>
    <s v="17/0315/FUL"/>
    <x v="3"/>
    <m/>
    <d v="2018-06-12T00:00:00"/>
    <d v="2021-06-12T00:00:00"/>
    <m/>
    <m/>
    <x v="2"/>
    <x v="0"/>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s v="Twickenham Riverside"/>
  </r>
  <r>
    <s v="17/0341/GPD13"/>
    <x v="1"/>
    <s v="PA"/>
    <d v="2017-04-24T00:00:00"/>
    <d v="2020-04-24T00:00:00"/>
    <m/>
    <m/>
    <x v="2"/>
    <x v="0"/>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s v="Teddington"/>
  </r>
  <r>
    <s v="17/0346/FUL"/>
    <x v="2"/>
    <m/>
    <d v="2017-08-31T00:00:00"/>
    <d v="2020-08-31T00:00:00"/>
    <m/>
    <m/>
    <x v="2"/>
    <x v="0"/>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s v="North Richmond"/>
  </r>
  <r>
    <s v="17/0600/FUL"/>
    <x v="1"/>
    <m/>
    <d v="2018-01-19T00:00:00"/>
    <d v="2021-01-19T00:00:00"/>
    <m/>
    <m/>
    <x v="2"/>
    <x v="0"/>
    <m/>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s v="Twickenham Riverside"/>
  </r>
  <r>
    <s v="17/0788/FUL"/>
    <x v="0"/>
    <m/>
    <d v="2017-11-17T00:00:00"/>
    <d v="2021-01-08T00:00:00"/>
    <m/>
    <m/>
    <x v="2"/>
    <x v="0"/>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s v="Teddington"/>
  </r>
  <r>
    <s v="17/0798/FUL"/>
    <x v="0"/>
    <m/>
    <d v="2017-12-01T00:00:00"/>
    <d v="2020-12-01T00:00:00"/>
    <m/>
    <m/>
    <x v="2"/>
    <x v="0"/>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s v="Whitton"/>
  </r>
  <r>
    <s v="17/1033/FUL"/>
    <x v="0"/>
    <m/>
    <d v="2017-09-19T00:00:00"/>
    <d v="2021-05-23T00:00:00"/>
    <m/>
    <m/>
    <x v="2"/>
    <x v="0"/>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s v="South Twickenham"/>
  </r>
  <r>
    <s v="17/1139/GPD15"/>
    <x v="1"/>
    <s v="PA"/>
    <d v="2017-05-31T00:00:00"/>
    <d v="2020-05-31T00:00:00"/>
    <m/>
    <m/>
    <x v="2"/>
    <x v="0"/>
    <m/>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s v="Twickenham Riverside"/>
  </r>
  <r>
    <s v="17/1390/FUL"/>
    <x v="0"/>
    <m/>
    <d v="2018-11-15T00:00:00"/>
    <d v="2022-05-14T00:00:00"/>
    <m/>
    <m/>
    <x v="2"/>
    <x v="0"/>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s v="St. Margarets and North Twickenham"/>
  </r>
  <r>
    <s v="17/1550/FUL"/>
    <x v="0"/>
    <m/>
    <d v="2018-07-09T00:00:00"/>
    <d v="2021-07-09T00:00:00"/>
    <m/>
    <m/>
    <x v="2"/>
    <x v="0"/>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s v="Hampton Wick"/>
  </r>
  <r>
    <s v="17/1782/FUL"/>
    <x v="0"/>
    <m/>
    <d v="2019-01-14T00:00:00"/>
    <d v="2022-01-14T00:00:00"/>
    <m/>
    <m/>
    <x v="2"/>
    <x v="0"/>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s v="Hampton Wick"/>
  </r>
  <r>
    <s v="17/2314/FUL"/>
    <x v="0"/>
    <m/>
    <d v="2018-04-26T00:00:00"/>
    <d v="2021-04-26T00:00:00"/>
    <m/>
    <m/>
    <x v="2"/>
    <x v="0"/>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s v="Hampton North"/>
  </r>
  <r>
    <s v="17/2532/GPD15"/>
    <x v="1"/>
    <s v="PA"/>
    <d v="2017-08-09T00:00:00"/>
    <d v="2020-08-09T00:00:00"/>
    <d v="2020-06-01T00:00:00"/>
    <m/>
    <x v="2"/>
    <x v="0"/>
    <m/>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s v="Kew"/>
  </r>
  <r>
    <s v="17/2586/FUL"/>
    <x v="2"/>
    <m/>
    <d v="2017-09-27T00:00:00"/>
    <d v="2020-09-27T00:00:00"/>
    <m/>
    <m/>
    <x v="2"/>
    <x v="0"/>
    <m/>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s v="East Sheen"/>
  </r>
  <r>
    <s v="17/2597/GPD15"/>
    <x v="1"/>
    <s v="PA"/>
    <d v="2017-08-30T00:00:00"/>
    <d v="2020-08-30T00:00:00"/>
    <m/>
    <m/>
    <x v="2"/>
    <x v="0"/>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s v="East Sheen"/>
  </r>
  <r>
    <s v="17/2680/FUL"/>
    <x v="0"/>
    <m/>
    <d v="2017-12-11T00:00:00"/>
    <d v="2021-03-14T00:00:00"/>
    <d v="2020-06-01T00:00:00"/>
    <m/>
    <x v="2"/>
    <x v="0"/>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s v="Hampton"/>
  </r>
  <r>
    <s v="17/2693/GPD15"/>
    <x v="1"/>
    <s v="PA"/>
    <d v="2017-09-08T00:00:00"/>
    <d v="2020-09-08T00:00:00"/>
    <m/>
    <m/>
    <x v="2"/>
    <x v="0"/>
    <m/>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s v="East Sheen"/>
  </r>
  <r>
    <s v="17/2872/FUL"/>
    <x v="0"/>
    <m/>
    <d v="2019-05-30T00:00:00"/>
    <d v="2022-05-20T00:00:00"/>
    <m/>
    <m/>
    <x v="2"/>
    <x v="0"/>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s v="Hampton"/>
  </r>
  <r>
    <s v="17/2957/FUL"/>
    <x v="2"/>
    <m/>
    <d v="2017-12-20T00:00:00"/>
    <d v="2020-12-20T00:00:00"/>
    <m/>
    <m/>
    <x v="2"/>
    <x v="0"/>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s v="Fulwell and Hampton Hill"/>
  </r>
  <r>
    <s v="17/3001/GPD16"/>
    <x v="1"/>
    <s v="PA"/>
    <d v="2017-09-27T00:00:00"/>
    <d v="2021-06-07T00:00:00"/>
    <m/>
    <m/>
    <x v="2"/>
    <x v="0"/>
    <m/>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s v="Teddington"/>
  </r>
  <r>
    <s v="17/3003/GPD16"/>
    <x v="1"/>
    <s v="PA"/>
    <d v="2017-09-27T00:00:00"/>
    <d v="2021-06-07T00:00:00"/>
    <m/>
    <m/>
    <x v="2"/>
    <x v="0"/>
    <m/>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s v="Teddington"/>
  </r>
  <r>
    <s v="17/3054/FUL"/>
    <x v="0"/>
    <m/>
    <d v="2018-10-30T00:00:00"/>
    <d v="2021-10-30T00:00:00"/>
    <m/>
    <m/>
    <x v="2"/>
    <x v="0"/>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s v="Twickenham Riverside"/>
  </r>
  <r>
    <s v="17/3077/FUL"/>
    <x v="0"/>
    <m/>
    <d v="2018-03-15T00:00:00"/>
    <d v="2021-03-15T00:00:00"/>
    <d v="2020-05-04T00:00:00"/>
    <m/>
    <x v="2"/>
    <x v="0"/>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s v="Twickenham Riverside"/>
  </r>
  <r>
    <s v="17/3265/FUL"/>
    <x v="0"/>
    <m/>
    <d v="2018-01-15T00:00:00"/>
    <d v="2021-01-15T00:00:00"/>
    <m/>
    <m/>
    <x v="2"/>
    <x v="0"/>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s v="Barnes"/>
  </r>
  <r>
    <s v="17/3402/GPD16"/>
    <x v="1"/>
    <s v="PA"/>
    <d v="2017-11-03T00:00:00"/>
    <d v="2020-11-03T00:00:00"/>
    <m/>
    <m/>
    <x v="2"/>
    <x v="0"/>
    <m/>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s v="Teddington"/>
  </r>
  <r>
    <s v="17/3404/FUL"/>
    <x v="1"/>
    <m/>
    <d v="2018-02-01T00:00:00"/>
    <d v="2021-02-02T00:00:00"/>
    <m/>
    <m/>
    <x v="2"/>
    <x v="0"/>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s v="Fulwell and Hampton Hill"/>
  </r>
  <r>
    <s v="17/3590/FUL"/>
    <x v="0"/>
    <m/>
    <d v="2018-07-26T00:00:00"/>
    <d v="2021-07-26T00:00:00"/>
    <m/>
    <m/>
    <x v="2"/>
    <x v="0"/>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s v="Fulwell and Hampton Hill"/>
  </r>
  <r>
    <s v="17/3610/FUL"/>
    <x v="3"/>
    <m/>
    <d v="2018-03-23T00:00:00"/>
    <d v="2021-03-23T00:00:00"/>
    <m/>
    <m/>
    <x v="2"/>
    <x v="0"/>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s v="Barnes"/>
  </r>
  <r>
    <s v="17/3696/GPD16"/>
    <x v="1"/>
    <s v="PA"/>
    <d v="2017-12-22T00:00:00"/>
    <d v="2020-12-22T00:00:00"/>
    <m/>
    <m/>
    <x v="2"/>
    <x v="0"/>
    <m/>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s v="East Sheen"/>
  </r>
  <r>
    <s v="17/3795/GPD15"/>
    <x v="1"/>
    <s v="PA"/>
    <d v="2017-12-11T00:00:00"/>
    <d v="2020-12-11T00:00:00"/>
    <m/>
    <m/>
    <x v="2"/>
    <x v="0"/>
    <m/>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s v="Teddington"/>
  </r>
  <r>
    <s v="17/4005/FUL"/>
    <x v="3"/>
    <m/>
    <d v="2020-03-05T00:00:00"/>
    <d v="2023-03-05T00:00:00"/>
    <m/>
    <m/>
    <x v="2"/>
    <x v="0"/>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s v="South Richmond"/>
  </r>
  <r>
    <s v="17/4014/FUL"/>
    <x v="1"/>
    <m/>
    <d v="2018-11-30T00:00:00"/>
    <d v="2022-03-19T00:00:00"/>
    <m/>
    <m/>
    <x v="2"/>
    <x v="0"/>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s v="South Twickenham"/>
  </r>
  <r>
    <s v="17/4015/FUL"/>
    <x v="0"/>
    <m/>
    <d v="2018-10-03T00:00:00"/>
    <d v="2021-10-03T00:00:00"/>
    <m/>
    <m/>
    <x v="2"/>
    <x v="0"/>
    <m/>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s v="South Richmond"/>
  </r>
  <r>
    <s v="17/4114/PS192"/>
    <x v="1"/>
    <s v="PA"/>
    <d v="2017-12-28T00:00:00"/>
    <d v="2020-12-28T00:00:00"/>
    <m/>
    <m/>
    <x v="2"/>
    <x v="0"/>
    <m/>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s v="Teddington"/>
  </r>
  <r>
    <s v="17/4122/FUL"/>
    <x v="0"/>
    <m/>
    <d v="2018-12-21T00:00:00"/>
    <d v="2021-12-21T00:00:00"/>
    <m/>
    <m/>
    <x v="2"/>
    <x v="0"/>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s v="Mortlake and Barnes Common"/>
  </r>
  <r>
    <s v="17/4292/FUL"/>
    <x v="4"/>
    <m/>
    <d v="2018-01-25T00:00:00"/>
    <d v="2021-01-25T00:00:00"/>
    <m/>
    <m/>
    <x v="2"/>
    <x v="0"/>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s v="North Richmond"/>
  </r>
  <r>
    <s v="17/4344/FUL"/>
    <x v="1"/>
    <m/>
    <d v="2018-03-09T00:00:00"/>
    <d v="2021-03-09T00:00:00"/>
    <m/>
    <m/>
    <x v="2"/>
    <x v="0"/>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s v="South Richmond"/>
  </r>
  <r>
    <s v="17/4422/GPD15"/>
    <x v="1"/>
    <s v="PA"/>
    <d v="2018-02-05T00:00:00"/>
    <d v="2021-02-05T00:00:00"/>
    <m/>
    <m/>
    <x v="2"/>
    <x v="0"/>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s v="Teddington"/>
  </r>
  <r>
    <s v="17/4453/FUL"/>
    <x v="3"/>
    <m/>
    <d v="2018-05-10T00:00:00"/>
    <d v="2021-05-10T00:00:00"/>
    <m/>
    <m/>
    <x v="2"/>
    <x v="0"/>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s v="Kew"/>
  </r>
  <r>
    <s v="17/4477/FUL"/>
    <x v="2"/>
    <m/>
    <d v="2019-05-23T00:00:00"/>
    <d v="2022-05-23T00:00:00"/>
    <m/>
    <m/>
    <x v="2"/>
    <x v="0"/>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s v="South Richmond"/>
  </r>
  <r>
    <s v="18/0268/FUL"/>
    <x v="0"/>
    <m/>
    <d v="2018-05-31T00:00:00"/>
    <d v="2021-05-31T00:00:00"/>
    <m/>
    <m/>
    <x v="2"/>
    <x v="0"/>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s v="Fulwell and Hampton Hill"/>
  </r>
  <r>
    <s v="18/0301/FUL"/>
    <x v="0"/>
    <m/>
    <d v="2018-12-18T00:00:00"/>
    <d v="2021-12-18T00:00:00"/>
    <m/>
    <m/>
    <x v="2"/>
    <x v="0"/>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s v="Ham, Petersham and Richmond Riverside"/>
  </r>
  <r>
    <s v="18/0315/FUL"/>
    <x v="0"/>
    <m/>
    <d v="2019-06-20T00:00:00"/>
    <d v="2022-06-20T00:00:00"/>
    <m/>
    <m/>
    <x v="2"/>
    <x v="0"/>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s v="Hampton North"/>
  </r>
  <r>
    <s v="18/0584/GPD15"/>
    <x v="1"/>
    <s v="PA"/>
    <d v="2018-04-17T00:00:00"/>
    <d v="2021-05-17T00:00:00"/>
    <m/>
    <m/>
    <x v="2"/>
    <x v="0"/>
    <m/>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s v="Fulwell and Hampton Hill"/>
  </r>
  <r>
    <s v="18/0723/FUL"/>
    <x v="0"/>
    <m/>
    <d v="2018-10-04T00:00:00"/>
    <d v="2021-10-04T00:00:00"/>
    <d v="2020-06-23T00:00:00"/>
    <m/>
    <x v="2"/>
    <x v="0"/>
    <m/>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s v="South Richmond"/>
  </r>
  <r>
    <s v="18/0866/FUL"/>
    <x v="4"/>
    <m/>
    <d v="2018-11-05T00:00:00"/>
    <d v="2021-11-06T00:00:00"/>
    <m/>
    <m/>
    <x v="2"/>
    <x v="0"/>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s v="North Richmond"/>
  </r>
  <r>
    <s v="18/1022/FUL"/>
    <x v="2"/>
    <m/>
    <d v="2018-11-27T00:00:00"/>
    <d v="2021-11-27T00:00:00"/>
    <m/>
    <m/>
    <x v="2"/>
    <x v="0"/>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s v="Teddington"/>
  </r>
  <r>
    <s v="18/1038/FUL"/>
    <x v="0"/>
    <m/>
    <d v="2019-02-04T00:00:00"/>
    <d v="2022-02-04T00:00:00"/>
    <m/>
    <m/>
    <x v="2"/>
    <x v="0"/>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s v="East Sheen"/>
  </r>
  <r>
    <s v="18/1064/GPD15"/>
    <x v="1"/>
    <s v="PA"/>
    <d v="2018-05-22T00:00:00"/>
    <d v="2021-05-22T00:00:00"/>
    <m/>
    <m/>
    <x v="2"/>
    <x v="0"/>
    <m/>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s v="East Sheen"/>
  </r>
  <r>
    <s v="18/1114/FUL"/>
    <x v="3"/>
    <m/>
    <d v="2019-07-25T00:00:00"/>
    <d v="2022-07-25T00:00:00"/>
    <m/>
    <m/>
    <x v="2"/>
    <x v="0"/>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s v="Fulwell and Hampton Hill"/>
  </r>
  <r>
    <s v="18/1248/FUL"/>
    <x v="1"/>
    <m/>
    <d v="2018-12-21T00:00:00"/>
    <d v="2021-12-21T00:00:00"/>
    <m/>
    <m/>
    <x v="2"/>
    <x v="0"/>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s v="North Richmond"/>
  </r>
  <r>
    <s v="18/1442/FUL"/>
    <x v="0"/>
    <m/>
    <d v="2019-01-07T00:00:00"/>
    <d v="2022-01-07T00:00:00"/>
    <m/>
    <m/>
    <x v="2"/>
    <x v="0"/>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s v="West Twickenham"/>
  </r>
  <r>
    <s v="18/1446/FUL"/>
    <x v="0"/>
    <m/>
    <d v="2018-08-10T00:00:00"/>
    <d v="2021-08-10T00:00:00"/>
    <m/>
    <m/>
    <x v="2"/>
    <x v="0"/>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s v="South Twickenham"/>
  </r>
  <r>
    <s v="18/1743/FUL"/>
    <x v="0"/>
    <m/>
    <d v="2018-10-12T00:00:00"/>
    <d v="2021-12-20T00:00:00"/>
    <m/>
    <m/>
    <x v="2"/>
    <x v="0"/>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s v="Hampton Wick"/>
  </r>
  <r>
    <s v="18/1911/FUL"/>
    <x v="4"/>
    <m/>
    <d v="2018-12-11T00:00:00"/>
    <d v="2021-12-11T00:00:00"/>
    <m/>
    <m/>
    <x v="2"/>
    <x v="0"/>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s v="Twickenham Riverside"/>
  </r>
  <r>
    <s v="18/2038/FUL"/>
    <x v="0"/>
    <m/>
    <d v="2019-02-12T00:00:00"/>
    <d v="2022-02-12T00:00:00"/>
    <m/>
    <m/>
    <x v="2"/>
    <x v="0"/>
    <m/>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s v="Barnes"/>
  </r>
  <r>
    <s v="18/2328/GPD15"/>
    <x v="1"/>
    <s v="PA"/>
    <d v="2018-09-14T00:00:00"/>
    <d v="2021-09-14T00:00:00"/>
    <m/>
    <m/>
    <x v="2"/>
    <x v="0"/>
    <m/>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s v="Teddington"/>
  </r>
  <r>
    <s v="18/2716/GPD13"/>
    <x v="1"/>
    <s v="PA"/>
    <d v="2018-10-08T00:00:00"/>
    <d v="2021-10-08T00:00:00"/>
    <m/>
    <m/>
    <x v="2"/>
    <x v="0"/>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s v="East Sheen"/>
  </r>
  <r>
    <s v="18/2943/FUL"/>
    <x v="4"/>
    <m/>
    <d v="2019-11-07T00:00:00"/>
    <d v="2022-11-07T00:00:00"/>
    <m/>
    <m/>
    <x v="2"/>
    <x v="0"/>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s v="Hampton"/>
  </r>
  <r>
    <s v="18/3003/FUL"/>
    <x v="0"/>
    <m/>
    <d v="2019-05-24T00:00:00"/>
    <d v="2022-05-24T00:00:00"/>
    <m/>
    <m/>
    <x v="2"/>
    <x v="0"/>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s v="St. Margarets and North Twickenham"/>
  </r>
  <r>
    <s v="18/3195/GPD15"/>
    <x v="1"/>
    <s v="PA"/>
    <d v="2018-11-12T00:00:00"/>
    <d v="2021-11-12T00:00:00"/>
    <m/>
    <m/>
    <x v="2"/>
    <x v="0"/>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s v="East Sheen"/>
  </r>
  <r>
    <s v="18/3285/FUL"/>
    <x v="0"/>
    <m/>
    <d v="2019-03-18T00:00:00"/>
    <d v="2022-03-18T00:00:00"/>
    <m/>
    <m/>
    <x v="2"/>
    <x v="0"/>
    <m/>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s v="Barnes"/>
  </r>
  <r>
    <s v="18/3460/FUL"/>
    <x v="2"/>
    <m/>
    <d v="2019-02-26T00:00:00"/>
    <d v="2022-02-26T00:00:00"/>
    <m/>
    <m/>
    <x v="2"/>
    <x v="0"/>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s v="South Richmond"/>
  </r>
  <r>
    <s v="18/3613/GPD15"/>
    <x v="1"/>
    <s v="PA"/>
    <d v="2018-12-28T00:00:00"/>
    <d v="2021-12-28T00:00:00"/>
    <m/>
    <m/>
    <x v="2"/>
    <x v="0"/>
    <m/>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s v="Fulwell and Hampton Hill"/>
  </r>
  <r>
    <s v="18/3696/FUL"/>
    <x v="1"/>
    <m/>
    <d v="2019-02-08T00:00:00"/>
    <d v="2022-02-08T00:00:00"/>
    <m/>
    <m/>
    <x v="2"/>
    <x v="0"/>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s v="South Twickenham"/>
  </r>
  <r>
    <s v="18/3930/FUL"/>
    <x v="0"/>
    <m/>
    <d v="2019-10-17T00:00:00"/>
    <d v="2022-10-17T00:00:00"/>
    <m/>
    <m/>
    <x v="2"/>
    <x v="0"/>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s v="Hampton Wick"/>
  </r>
  <r>
    <s v="18/3950/FUL"/>
    <x v="1"/>
    <m/>
    <d v="2019-07-15T00:00:00"/>
    <d v="2022-07-15T00:00:00"/>
    <m/>
    <m/>
    <x v="2"/>
    <x v="1"/>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s v="North Richmond"/>
  </r>
  <r>
    <s v="18/3950/FUL"/>
    <x v="1"/>
    <m/>
    <d v="2019-07-15T00:00:00"/>
    <d v="2022-07-15T00:00:00"/>
    <m/>
    <m/>
    <x v="2"/>
    <x v="2"/>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s v="North Richmond"/>
  </r>
  <r>
    <s v="18/3950/FUL"/>
    <x v="1"/>
    <m/>
    <d v="2019-07-15T00:00:00"/>
    <d v="2022-07-15T00:00:00"/>
    <m/>
    <m/>
    <x v="2"/>
    <x v="0"/>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s v="North Richmond"/>
  </r>
  <r>
    <s v="18/3952/FUL"/>
    <x v="0"/>
    <m/>
    <d v="2019-03-29T00:00:00"/>
    <d v="2022-04-01T00:00:00"/>
    <m/>
    <m/>
    <x v="2"/>
    <x v="0"/>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s v="Hampton"/>
  </r>
  <r>
    <s v="18/3954/FUL"/>
    <x v="0"/>
    <m/>
    <d v="2019-07-08T00:00:00"/>
    <d v="2022-06-24T00:00:00"/>
    <m/>
    <m/>
    <x v="2"/>
    <x v="0"/>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s v="South Richmond"/>
  </r>
  <r>
    <s v="18/4125/FUL"/>
    <x v="2"/>
    <m/>
    <d v="2019-02-06T00:00:00"/>
    <d v="2022-02-06T00:00:00"/>
    <m/>
    <m/>
    <x v="2"/>
    <x v="0"/>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s v="Fulwell and Hampton Hill"/>
  </r>
  <r>
    <s v="18/4138/FUL"/>
    <x v="0"/>
    <m/>
    <d v="2019-11-11T00:00:00"/>
    <d v="2022-11-11T00:00:00"/>
    <d v="2020-04-14T00:00:00"/>
    <m/>
    <x v="2"/>
    <x v="0"/>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s v="Kew"/>
  </r>
  <r>
    <s v="18/4183/FUL"/>
    <x v="0"/>
    <m/>
    <d v="2019-07-25T00:00:00"/>
    <d v="2022-07-25T00:00:00"/>
    <m/>
    <m/>
    <x v="2"/>
    <x v="0"/>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s v="Mortlake and Barnes Common"/>
  </r>
  <r>
    <s v="18/4259/FUL"/>
    <x v="2"/>
    <m/>
    <d v="2019-09-23T00:00:00"/>
    <d v="2022-09-23T00:00:00"/>
    <m/>
    <m/>
    <x v="2"/>
    <x v="0"/>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s v="Barnes"/>
  </r>
  <r>
    <s v="19/0171/GPD15"/>
    <x v="1"/>
    <s v="PA"/>
    <d v="2019-03-19T00:00:00"/>
    <d v="2022-03-19T00:00:00"/>
    <m/>
    <m/>
    <x v="2"/>
    <x v="0"/>
    <m/>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s v="Barnes"/>
  </r>
  <r>
    <s v="19/0175/FUL"/>
    <x v="0"/>
    <m/>
    <d v="2019-05-09T00:00:00"/>
    <d v="2022-05-09T00:00:00"/>
    <m/>
    <m/>
    <x v="2"/>
    <x v="0"/>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s v="Twickenham Riverside"/>
  </r>
  <r>
    <s v="19/0228/FUL"/>
    <x v="2"/>
    <m/>
    <d v="2019-06-28T00:00:00"/>
    <d v="2022-06-28T00:00:00"/>
    <m/>
    <m/>
    <x v="2"/>
    <x v="0"/>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s v="North Richmond"/>
  </r>
  <r>
    <s v="19/0338/FUL"/>
    <x v="0"/>
    <m/>
    <d v="2019-05-24T00:00:00"/>
    <d v="2022-05-24T00:00:00"/>
    <m/>
    <m/>
    <x v="2"/>
    <x v="0"/>
    <m/>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s v="West Twickenham"/>
  </r>
  <r>
    <s v="19/0382/FUL"/>
    <x v="0"/>
    <m/>
    <d v="2019-12-05T00:00:00"/>
    <d v="2022-12-05T00:00:00"/>
    <m/>
    <m/>
    <x v="2"/>
    <x v="0"/>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s v="South Twickenham"/>
  </r>
  <r>
    <s v="19/0391/FUL"/>
    <x v="0"/>
    <m/>
    <d v="2020-02-20T00:00:00"/>
    <d v="2023-02-20T00:00:00"/>
    <m/>
    <m/>
    <x v="2"/>
    <x v="0"/>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s v="Mortlake and Barnes Common"/>
  </r>
  <r>
    <s v="19/0414/FUL"/>
    <x v="0"/>
    <m/>
    <d v="2020-01-22T00:00:00"/>
    <d v="2023-01-23T00:00:00"/>
    <m/>
    <m/>
    <x v="2"/>
    <x v="0"/>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s v="Heathfield"/>
  </r>
  <r>
    <s v="19/0823/GPD13"/>
    <x v="1"/>
    <s v="PA"/>
    <d v="2019-05-07T00:00:00"/>
    <d v="2022-05-07T00:00:00"/>
    <m/>
    <m/>
    <x v="2"/>
    <x v="0"/>
    <m/>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s v="Kew"/>
  </r>
  <r>
    <s v="19/0847/FUL"/>
    <x v="0"/>
    <m/>
    <d v="2019-12-23T00:00:00"/>
    <d v="2022-12-24T00:00:00"/>
    <m/>
    <m/>
    <x v="2"/>
    <x v="0"/>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s v="Teddington"/>
  </r>
  <r>
    <s v="19/0911/FUL"/>
    <x v="4"/>
    <m/>
    <d v="2020-01-17T00:00:00"/>
    <d v="2023-02-05T00:00:00"/>
    <m/>
    <m/>
    <x v="2"/>
    <x v="0"/>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s v="Hampton Wick"/>
  </r>
  <r>
    <s v="19/1029/FUL"/>
    <x v="4"/>
    <m/>
    <d v="2019-09-17T00:00:00"/>
    <d v="2022-09-17T00:00:00"/>
    <m/>
    <m/>
    <x v="2"/>
    <x v="0"/>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s v="Fulwell and Hampton Hill"/>
  </r>
  <r>
    <s v="19/1033/GPD23"/>
    <x v="1"/>
    <s v="PA"/>
    <d v="2019-06-05T00:00:00"/>
    <d v="2022-06-05T00:00:00"/>
    <m/>
    <m/>
    <x v="2"/>
    <x v="0"/>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s v="East Sheen"/>
  </r>
  <r>
    <s v="19/1098/FUL"/>
    <x v="0"/>
    <m/>
    <d v="2019-08-23T00:00:00"/>
    <d v="2022-08-27T00:00:00"/>
    <m/>
    <m/>
    <x v="2"/>
    <x v="0"/>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s v="East Sheen"/>
  </r>
  <r>
    <s v="19/1162/FUL"/>
    <x v="3"/>
    <m/>
    <d v="2020-03-20T00:00:00"/>
    <d v="2023-03-20T00:00:00"/>
    <m/>
    <m/>
    <x v="2"/>
    <x v="0"/>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s v="South Richmond"/>
  </r>
  <r>
    <s v="19/1219/FUL"/>
    <x v="0"/>
    <m/>
    <d v="2019-12-11T00:00:00"/>
    <d v="2022-12-11T00:00:00"/>
    <m/>
    <m/>
    <x v="2"/>
    <x v="0"/>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s v="East Sheen"/>
  </r>
  <r>
    <s v="19/1361/FUL"/>
    <x v="4"/>
    <m/>
    <d v="2019-07-16T00:00:00"/>
    <d v="2022-07-16T00:00:00"/>
    <d v="2020-06-17T00:00:00"/>
    <d v="2020-09-30T00:00:00"/>
    <x v="2"/>
    <x v="0"/>
    <m/>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s v="West Twickenham"/>
  </r>
  <r>
    <s v="19/1602/GPD15"/>
    <x v="1"/>
    <s v="PA"/>
    <d v="2019-07-15T00:00:00"/>
    <d v="2022-07-15T00:00:00"/>
    <m/>
    <m/>
    <x v="2"/>
    <x v="0"/>
    <m/>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s v="Fulwell and Hampton Hill"/>
  </r>
  <r>
    <s v="19/1649/GPD15"/>
    <x v="1"/>
    <s v="PA"/>
    <d v="2019-07-16T00:00:00"/>
    <d v="2022-07-16T00:00:00"/>
    <m/>
    <m/>
    <x v="2"/>
    <x v="0"/>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s v="Twickenham Riverside"/>
  </r>
  <r>
    <s v="19/1703/FUL"/>
    <x v="1"/>
    <m/>
    <d v="2019-08-12T00:00:00"/>
    <d v="2022-12-27T00:00:00"/>
    <m/>
    <m/>
    <x v="2"/>
    <x v="0"/>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s v="West Twickenham"/>
  </r>
  <r>
    <s v="19/1731/FUL"/>
    <x v="0"/>
    <m/>
    <d v="2019-08-21T00:00:00"/>
    <d v="2022-08-21T00:00:00"/>
    <m/>
    <m/>
    <x v="2"/>
    <x v="0"/>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s v="South Twickenham"/>
  </r>
  <r>
    <s v="19/1759/FUL"/>
    <x v="2"/>
    <m/>
    <d v="2019-09-09T00:00:00"/>
    <d v="2022-09-16T00:00:00"/>
    <m/>
    <m/>
    <x v="2"/>
    <x v="0"/>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s v="Fulwell and Hampton Hill"/>
  </r>
  <r>
    <s v="19/1763/FUL"/>
    <x v="0"/>
    <m/>
    <d v="2019-09-23T00:00:00"/>
    <d v="2022-09-23T00:00:00"/>
    <m/>
    <m/>
    <x v="2"/>
    <x v="0"/>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s v="St. Margarets and North Twickenham"/>
  </r>
  <r>
    <s v="19/1895/FUL"/>
    <x v="4"/>
    <m/>
    <d v="2019-10-23T00:00:00"/>
    <d v="2022-10-23T00:00:00"/>
    <m/>
    <m/>
    <x v="2"/>
    <x v="0"/>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s v="Ham, Petersham and Richmond Riverside"/>
  </r>
  <r>
    <s v="19/1997/GPD23"/>
    <x v="1"/>
    <s v="PA"/>
    <d v="2019-08-29T00:00:00"/>
    <d v="2022-08-29T00:00:00"/>
    <m/>
    <m/>
    <x v="2"/>
    <x v="0"/>
    <m/>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s v="Fulwell and Hampton Hill"/>
  </r>
  <r>
    <s v="19/2102/FUL"/>
    <x v="4"/>
    <m/>
    <d v="2019-08-21T00:00:00"/>
    <d v="2022-08-27T00:00:00"/>
    <m/>
    <m/>
    <x v="2"/>
    <x v="0"/>
    <m/>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s v="Hampton Wick"/>
  </r>
  <r>
    <s v="19/2273/FUL"/>
    <x v="1"/>
    <m/>
    <d v="2019-12-23T00:00:00"/>
    <d v="2022-12-23T00:00:00"/>
    <m/>
    <m/>
    <x v="2"/>
    <x v="0"/>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s v="Hampton North"/>
  </r>
  <r>
    <s v="19/2300/FUL"/>
    <x v="0"/>
    <m/>
    <d v="2019-09-23T00:00:00"/>
    <d v="2022-09-23T00:00:00"/>
    <m/>
    <m/>
    <x v="2"/>
    <x v="0"/>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s v="North Richmond"/>
  </r>
  <r>
    <s v="19/2788/FUL"/>
    <x v="4"/>
    <m/>
    <d v="2020-01-31T00:00:00"/>
    <d v="2023-02-03T00:00:00"/>
    <m/>
    <m/>
    <x v="2"/>
    <x v="0"/>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s v="Kew"/>
  </r>
  <r>
    <s v="19/2796/GPD15"/>
    <x v="1"/>
    <s v="PA"/>
    <d v="2019-11-05T00:00:00"/>
    <d v="2022-07-05T00:00:00"/>
    <m/>
    <m/>
    <x v="2"/>
    <x v="0"/>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s v="Mortlake and Barnes Common"/>
  </r>
  <r>
    <s v="19/3025/FUL"/>
    <x v="1"/>
    <m/>
    <d v="2020-01-29T00:00:00"/>
    <d v="2023-01-29T00:00:00"/>
    <m/>
    <m/>
    <x v="2"/>
    <x v="0"/>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s v="Twickenham Riverside"/>
  </r>
  <r>
    <s v="19/3101/GPD23"/>
    <x v="1"/>
    <s v="PA"/>
    <d v="2019-11-18T00:00:00"/>
    <d v="2022-11-18T00:00:00"/>
    <m/>
    <m/>
    <x v="2"/>
    <x v="0"/>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s v="Fulwell and Hampton Hill"/>
  </r>
  <r>
    <s v="19/3419/FUL"/>
    <x v="0"/>
    <m/>
    <d v="2020-03-11T00:00:00"/>
    <d v="2023-03-11T00:00:00"/>
    <m/>
    <m/>
    <x v="2"/>
    <x v="0"/>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s v="Ham, Petersham and Richmond Riverside"/>
  </r>
  <r>
    <s v="20/0136/FUL"/>
    <x v="0"/>
    <m/>
    <d v="2020-03-26T00:00:00"/>
    <d v="2021-12-21T00:00:00"/>
    <m/>
    <m/>
    <x v="2"/>
    <x v="0"/>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s v="Barnes"/>
  </r>
  <r>
    <s v="20/0373/PS192"/>
    <x v="1"/>
    <s v="PA"/>
    <d v="2020-02-17T00:00:00"/>
    <d v="2020-02-18T00:00:00"/>
    <m/>
    <m/>
    <x v="2"/>
    <x v="0"/>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s v="East Sheen"/>
  </r>
  <r>
    <s v="Site Allocation"/>
    <x v="0"/>
    <m/>
    <m/>
    <m/>
    <m/>
    <m/>
    <x v="3"/>
    <x v="4"/>
    <m/>
    <m/>
    <s v="Sainsbury’s, Manor Road/Lower Richmond Road"/>
    <m/>
    <m/>
    <m/>
    <m/>
    <m/>
    <m/>
    <m/>
    <m/>
    <m/>
    <m/>
    <m/>
    <m/>
    <m/>
    <m/>
    <m/>
    <m/>
    <m/>
    <m/>
    <m/>
    <m/>
    <m/>
    <m/>
    <m/>
    <m/>
    <m/>
    <m/>
    <m/>
    <m/>
    <n v="0"/>
    <m/>
    <n v="0"/>
    <n v="0"/>
    <n v="0"/>
    <n v="0"/>
    <n v="0"/>
    <n v="0"/>
    <n v="50"/>
    <n v="50"/>
    <n v="50"/>
    <n v="50"/>
    <n v="50"/>
    <n v="250"/>
    <n v="519119"/>
    <n v="175570"/>
    <s v="Ham, Petersham and Richmond Riverside"/>
  </r>
  <r>
    <s v="Site Allocation"/>
    <x v="0"/>
    <m/>
    <m/>
    <m/>
    <m/>
    <m/>
    <x v="3"/>
    <x v="4"/>
    <m/>
    <m/>
    <s v="Ham Central"/>
    <m/>
    <m/>
    <m/>
    <m/>
    <m/>
    <m/>
    <m/>
    <m/>
    <m/>
    <m/>
    <m/>
    <m/>
    <m/>
    <m/>
    <m/>
    <m/>
    <m/>
    <m/>
    <m/>
    <m/>
    <m/>
    <m/>
    <m/>
    <m/>
    <m/>
    <m/>
    <m/>
    <m/>
    <n v="0"/>
    <m/>
    <n v="0"/>
    <n v="0"/>
    <n v="0"/>
    <n v="0"/>
    <n v="0"/>
    <n v="0"/>
    <n v="50"/>
    <n v="50"/>
    <n v="50"/>
    <n v="50"/>
    <n v="50"/>
    <n v="250"/>
    <n v="517177"/>
    <n v="172352"/>
    <s v="Ham, Petersham and Richmond Riverside"/>
  </r>
  <r>
    <s v="Site Allocation"/>
    <x v="0"/>
    <m/>
    <m/>
    <m/>
    <m/>
    <m/>
    <x v="3"/>
    <x v="4"/>
    <m/>
    <m/>
    <s v="Mereway Day Centre"/>
    <m/>
    <m/>
    <m/>
    <m/>
    <m/>
    <m/>
    <m/>
    <m/>
    <m/>
    <m/>
    <m/>
    <m/>
    <m/>
    <m/>
    <m/>
    <m/>
    <m/>
    <m/>
    <m/>
    <m/>
    <m/>
    <m/>
    <m/>
    <m/>
    <m/>
    <m/>
    <m/>
    <m/>
    <n v="0"/>
    <m/>
    <n v="0"/>
    <n v="0"/>
    <n v="0"/>
    <n v="0"/>
    <n v="0"/>
    <n v="0"/>
    <n v="20"/>
    <n v="20"/>
    <n v="0"/>
    <n v="0"/>
    <n v="0"/>
    <n v="40"/>
    <n v="515033"/>
    <n v="173287"/>
    <s v="South Twickenham"/>
  </r>
  <r>
    <s v="Site Allocation"/>
    <x v="0"/>
    <m/>
    <m/>
    <m/>
    <m/>
    <m/>
    <x v="3"/>
    <x v="4"/>
    <m/>
    <m/>
    <s v="Telephone Exchange, 88 High Street, Teddington, TW1 18JD"/>
    <m/>
    <m/>
    <m/>
    <m/>
    <m/>
    <m/>
    <m/>
    <m/>
    <m/>
    <m/>
    <m/>
    <m/>
    <m/>
    <m/>
    <m/>
    <m/>
    <m/>
    <m/>
    <m/>
    <m/>
    <m/>
    <m/>
    <m/>
    <m/>
    <m/>
    <m/>
    <m/>
    <m/>
    <n v="0"/>
    <m/>
    <n v="0"/>
    <n v="0"/>
    <n v="0"/>
    <n v="0"/>
    <n v="0"/>
    <n v="0"/>
    <n v="0"/>
    <n v="5"/>
    <n v="5"/>
    <n v="5"/>
    <n v="5"/>
    <n v="20"/>
    <n v="516258"/>
    <n v="171100"/>
    <s v="Teddington"/>
  </r>
  <r>
    <s v="Site Allocation"/>
    <x v="0"/>
    <m/>
    <m/>
    <m/>
    <m/>
    <m/>
    <x v="3"/>
    <x v="4"/>
    <m/>
    <m/>
    <s v="Telephone Exchange, Ashdale Close, Whitton, TW1 7BE"/>
    <m/>
    <m/>
    <m/>
    <m/>
    <m/>
    <m/>
    <m/>
    <m/>
    <m/>
    <m/>
    <m/>
    <m/>
    <m/>
    <m/>
    <m/>
    <m/>
    <m/>
    <m/>
    <m/>
    <m/>
    <m/>
    <m/>
    <m/>
    <m/>
    <m/>
    <m/>
    <m/>
    <m/>
    <n v="0"/>
    <m/>
    <n v="0"/>
    <n v="0"/>
    <n v="0"/>
    <n v="0"/>
    <n v="0"/>
    <n v="0"/>
    <n v="0"/>
    <n v="5"/>
    <n v="5"/>
    <n v="5"/>
    <n v="5"/>
    <n v="20"/>
    <n v="514055"/>
    <n v="173847"/>
    <s v="Whitton"/>
  </r>
  <r>
    <s v="Site Allocation"/>
    <x v="0"/>
    <m/>
    <m/>
    <m/>
    <m/>
    <m/>
    <x v="3"/>
    <x v="4"/>
    <m/>
    <m/>
    <s v="Telephone Exchange, Garfield Road, Twickenham"/>
    <m/>
    <m/>
    <m/>
    <m/>
    <m/>
    <m/>
    <m/>
    <m/>
    <m/>
    <m/>
    <m/>
    <m/>
    <m/>
    <m/>
    <m/>
    <m/>
    <m/>
    <m/>
    <m/>
    <m/>
    <m/>
    <m/>
    <m/>
    <m/>
    <m/>
    <m/>
    <m/>
    <m/>
    <n v="0"/>
    <m/>
    <n v="0"/>
    <n v="0"/>
    <n v="0"/>
    <n v="0"/>
    <n v="0"/>
    <n v="0"/>
    <n v="0"/>
    <n v="5"/>
    <n v="5"/>
    <n v="5"/>
    <n v="5"/>
    <n v="20"/>
    <n v="516325"/>
    <n v="173426"/>
    <s v="Twickenham Riverside"/>
  </r>
  <r>
    <s v="18/0547/FUL"/>
    <x v="3"/>
    <m/>
    <m/>
    <m/>
    <m/>
    <m/>
    <x v="4"/>
    <x v="4"/>
    <s v="Stag Brewery"/>
    <m/>
    <s v="The Stag Brewery Lower Richmond Road Mortlake London SW14 7ET"/>
    <m/>
    <m/>
    <m/>
    <m/>
    <m/>
    <m/>
    <m/>
    <m/>
    <m/>
    <m/>
    <m/>
    <m/>
    <m/>
    <m/>
    <m/>
    <m/>
    <m/>
    <m/>
    <m/>
    <m/>
    <m/>
    <m/>
    <m/>
    <m/>
    <m/>
    <m/>
    <m/>
    <m/>
    <n v="300"/>
    <m/>
    <n v="0"/>
    <n v="0"/>
    <n v="0"/>
    <n v="0"/>
    <n v="150"/>
    <n v="150"/>
    <n v="80"/>
    <n v="80"/>
    <n v="80"/>
    <n v="80"/>
    <n v="80"/>
    <n v="700"/>
    <n v="520502"/>
    <n v="175950"/>
    <s v="Mortlake and Barnes Common"/>
  </r>
  <r>
    <s v="18/3310/FUL"/>
    <x v="0"/>
    <m/>
    <d v="2020-09-16T00:00:00"/>
    <m/>
    <m/>
    <m/>
    <x v="4"/>
    <x v="4"/>
    <s v="Kew Biothane Plant"/>
    <m/>
    <s v="Kew Biothane Plant, Melliss Avenue, Kew_x000a_"/>
    <m/>
    <m/>
    <m/>
    <m/>
    <m/>
    <m/>
    <m/>
    <m/>
    <m/>
    <m/>
    <m/>
    <m/>
    <m/>
    <m/>
    <m/>
    <m/>
    <m/>
    <m/>
    <m/>
    <m/>
    <m/>
    <m/>
    <m/>
    <m/>
    <m/>
    <m/>
    <m/>
    <m/>
    <n v="90"/>
    <m/>
    <n v="0"/>
    <n v="0"/>
    <n v="0"/>
    <n v="0"/>
    <n v="45"/>
    <n v="45"/>
    <m/>
    <m/>
    <m/>
    <m/>
    <m/>
    <n v="90"/>
    <n v="519778"/>
    <n v="176914"/>
    <s v="Kew"/>
  </r>
  <r>
    <s v="18/3642/OUT"/>
    <x v="0"/>
    <m/>
    <d v="2020-09-14T00:00:00"/>
    <d v="2023-09-14T00:00:00"/>
    <m/>
    <m/>
    <x v="4"/>
    <x v="4"/>
    <s v="Barnes Hospital"/>
    <s v="Outline planning permission for the demolition and comprehensive redevelopment (phased development) of land at Barnes Hospital to provide a mixed use development comprising a health centre (Use Class D1), a Special Educational Needs (SEN) School (Use Class D1), up to 80 new build residential units (Use class C3), the conversion of two of the retained BTMs for use for up 3no. residential units (Use Class C3), the conversion of one BTM for medical use (Use Class D1), car parking, landscaping and associated works. All matters reserved save for the full details submitted in relation to access points at the site boundaries."/>
    <s v="Barnes Hospital, South Worple Way, East Sheen, SW14 8SU"/>
    <m/>
    <m/>
    <m/>
    <m/>
    <m/>
    <m/>
    <m/>
    <m/>
    <m/>
    <m/>
    <m/>
    <m/>
    <m/>
    <m/>
    <m/>
    <m/>
    <m/>
    <m/>
    <m/>
    <m/>
    <m/>
    <m/>
    <m/>
    <m/>
    <m/>
    <m/>
    <m/>
    <m/>
    <n v="83"/>
    <m/>
    <n v="0"/>
    <n v="0"/>
    <n v="0"/>
    <n v="0"/>
    <n v="41.5"/>
    <n v="41.5"/>
    <m/>
    <m/>
    <m/>
    <m/>
    <m/>
    <n v="83"/>
    <n v="521203"/>
    <n v="175677"/>
    <s v="Mortlake and Barnes Common"/>
  </r>
  <r>
    <s v="19/0510/FUL"/>
    <x v="0"/>
    <m/>
    <m/>
    <m/>
    <m/>
    <m/>
    <x v="4"/>
    <x v="4"/>
    <s v="Homebase Manor Road Richmond"/>
    <s v="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
    <s v="Homebase 84 Manor Road Richmond TW9 1YB"/>
    <m/>
    <m/>
    <m/>
    <m/>
    <m/>
    <m/>
    <m/>
    <m/>
    <m/>
    <m/>
    <m/>
    <m/>
    <m/>
    <m/>
    <m/>
    <m/>
    <m/>
    <m/>
    <m/>
    <m/>
    <m/>
    <m/>
    <m/>
    <m/>
    <m/>
    <m/>
    <m/>
    <m/>
    <n v="80"/>
    <m/>
    <n v="0"/>
    <n v="0"/>
    <n v="0"/>
    <n v="0"/>
    <n v="0"/>
    <n v="80"/>
    <m/>
    <m/>
    <m/>
    <m/>
    <m/>
    <n v="80"/>
    <n v="518920"/>
    <n v="175418"/>
    <s v="North Richmond"/>
  </r>
  <r>
    <s v="19/3616/FUL "/>
    <x v="0"/>
    <m/>
    <m/>
    <m/>
    <m/>
    <m/>
    <x v="4"/>
    <x v="4"/>
    <s v="Old Station Forecourt"/>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m/>
    <m/>
    <m/>
    <m/>
    <m/>
    <m/>
    <m/>
    <m/>
    <m/>
    <m/>
    <m/>
    <m/>
    <m/>
    <m/>
    <m/>
    <m/>
    <m/>
    <m/>
    <m/>
    <m/>
    <m/>
    <m/>
    <m/>
    <m/>
    <m/>
    <m/>
    <m/>
    <m/>
    <n v="46"/>
    <m/>
    <n v="0"/>
    <n v="0"/>
    <n v="0"/>
    <n v="0"/>
    <n v="23"/>
    <n v="23"/>
    <m/>
    <m/>
    <m/>
    <m/>
    <m/>
    <n v="46"/>
    <n v="516060"/>
    <n v="173599"/>
    <s v="Twickenham Riverside"/>
  </r>
  <r>
    <s v="20/0539/FUL"/>
    <x v="0"/>
    <m/>
    <d v="2020-10-07T00:00:00"/>
    <m/>
    <m/>
    <m/>
    <x v="4"/>
    <x v="5"/>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n v="20"/>
    <m/>
    <n v="0"/>
    <n v="0"/>
    <n v="0"/>
    <n v="0"/>
    <n v="10"/>
    <n v="10"/>
    <m/>
    <m/>
    <m/>
    <m/>
    <m/>
    <n v="20"/>
    <n v="515141"/>
    <n v="171791"/>
    <s v="Fulwell and Hampton Hill"/>
  </r>
  <r>
    <s v="Site Allocation"/>
    <x v="3"/>
    <m/>
    <m/>
    <m/>
    <m/>
    <m/>
    <x v="4"/>
    <x v="4"/>
    <s v="Kneller Hall"/>
    <m/>
    <s v="Kneller Hall Royal Military School Of Music Kneller Road Twickenham"/>
    <m/>
    <m/>
    <m/>
    <m/>
    <m/>
    <m/>
    <m/>
    <m/>
    <m/>
    <m/>
    <m/>
    <m/>
    <m/>
    <m/>
    <m/>
    <m/>
    <m/>
    <m/>
    <m/>
    <m/>
    <m/>
    <m/>
    <m/>
    <m/>
    <m/>
    <m/>
    <m/>
    <m/>
    <n v="20"/>
    <m/>
    <n v="0"/>
    <n v="0"/>
    <n v="0"/>
    <n v="0"/>
    <n v="0"/>
    <n v="20"/>
    <n v="10"/>
    <n v="0"/>
    <n v="0"/>
    <n v="0"/>
    <n v="0"/>
    <n v="30"/>
    <n v="514682"/>
    <n v="174192"/>
    <s v="Whitton"/>
  </r>
  <r>
    <s v="Small Sites Trend"/>
    <x v="3"/>
    <m/>
    <m/>
    <m/>
    <m/>
    <m/>
    <x v="4"/>
    <x v="4"/>
    <s v="Small Sites Trend"/>
    <s v="Small Sites Trend"/>
    <s v="Small Sites Trend"/>
    <m/>
    <m/>
    <m/>
    <m/>
    <m/>
    <m/>
    <m/>
    <m/>
    <m/>
    <m/>
    <m/>
    <m/>
    <m/>
    <m/>
    <m/>
    <m/>
    <m/>
    <m/>
    <m/>
    <m/>
    <n v="0"/>
    <n v="0"/>
    <n v="0"/>
    <n v="0"/>
    <n v="0"/>
    <n v="0"/>
    <n v="0"/>
    <n v="0"/>
    <n v="742"/>
    <m/>
    <n v="0"/>
    <n v="20"/>
    <n v="20"/>
    <n v="234"/>
    <n v="234"/>
    <n v="234"/>
    <n v="234"/>
    <n v="234"/>
    <n v="234"/>
    <n v="234"/>
    <n v="234"/>
    <n v="1912"/>
    <m/>
    <m/>
    <s v="N/A"/>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7">
  <r>
    <s v="10/0312/FUL"/>
    <s v="NEW"/>
    <m/>
    <d v="2010-06-15T00:00:00"/>
    <d v="2013-06-15T00:00:00"/>
    <d v="2013-06-15T00:00:00"/>
    <d v="2019-10-03T00:00:00"/>
    <x v="0"/>
    <s v="Open Market"/>
    <m/>
    <s v="Construction of three bedroom house and associated landscaping"/>
    <s v="72 Stanley Road_x000d_Teddington_x000d__x000d_"/>
    <m/>
    <m/>
    <m/>
    <m/>
    <m/>
    <m/>
    <m/>
    <m/>
    <m/>
    <n v="0"/>
    <m/>
    <m/>
    <m/>
    <n v="1"/>
    <m/>
    <m/>
    <m/>
    <m/>
    <m/>
    <n v="1"/>
    <n v="0"/>
    <n v="0"/>
    <n v="1"/>
    <n v="0"/>
    <n v="0"/>
    <n v="0"/>
    <n v="0"/>
    <n v="0"/>
    <n v="1"/>
    <m/>
    <n v="1"/>
    <n v="0"/>
    <n v="0"/>
    <n v="0"/>
    <n v="0"/>
    <n v="0"/>
    <m/>
    <m/>
    <m/>
    <m/>
    <m/>
    <n v="0"/>
    <n v="515372"/>
    <n v="171266"/>
    <s v="Teddington"/>
    <m/>
    <x v="0"/>
    <x v="0"/>
    <m/>
    <m/>
    <m/>
    <m/>
    <x v="0"/>
    <m/>
  </r>
  <r>
    <s v="11/1443/FUL"/>
    <s v="NEW"/>
    <m/>
    <d v="2012-03-30T00:00:00"/>
    <d v="2015-03-30T00:00:00"/>
    <d v="2015-03-14T00:00:00"/>
    <d v="2020-01-31T00:00:00"/>
    <x v="0"/>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s v="St. Margarets and North Twickenham"/>
    <m/>
    <x v="1"/>
    <x v="0"/>
    <m/>
    <m/>
    <m/>
    <m/>
    <x v="0"/>
    <m/>
  </r>
  <r>
    <s v="11/2882/FUL"/>
    <s v="CHU"/>
    <m/>
    <d v="2012-09-10T00:00:00"/>
    <d v="2015-09-10T00:00:00"/>
    <d v="2015-09-09T00:00:00"/>
    <d v="2020-03-18T00:00:00"/>
    <x v="0"/>
    <s v="Open Market"/>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s v="West Twickenham"/>
    <m/>
    <x v="0"/>
    <x v="0"/>
    <m/>
    <m/>
    <m/>
    <m/>
    <x v="0"/>
    <m/>
  </r>
  <r>
    <s v="13/2163/FUL"/>
    <s v="CON"/>
    <m/>
    <d v="2013-10-25T00:00:00"/>
    <d v="2016-10-28T00:00:00"/>
    <d v="2016-09-01T00:00:00"/>
    <d v="2019-08-14T00:00:00"/>
    <x v="0"/>
    <s v="Open Market"/>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s v="Hampton Wick"/>
    <m/>
    <x v="0"/>
    <x v="0"/>
    <m/>
    <m/>
    <m/>
    <m/>
    <x v="0"/>
    <m/>
  </r>
  <r>
    <s v="14/3983/FUL"/>
    <s v="NEW"/>
    <m/>
    <d v="2015-05-15T00:00:00"/>
    <d v="2019-03-18T00:00:00"/>
    <d v="2017-04-14T00:00:00"/>
    <d v="2020-03-31T00:00:00"/>
    <x v="0"/>
    <s v="Open Market"/>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s v="South Richmond"/>
    <m/>
    <x v="0"/>
    <x v="0"/>
    <m/>
    <m/>
    <m/>
    <m/>
    <x v="1"/>
    <s v="CA30 St Matthias Richmond"/>
  </r>
  <r>
    <s v="14/4464/P3JPA"/>
    <s v="CHU"/>
    <s v="PA"/>
    <d v="2015-01-05T00:00:00"/>
    <d v="2020-07-21T00:00:00"/>
    <d v="2018-02-01T00:00:00"/>
    <d v="2019-10-11T00:00:00"/>
    <x v="0"/>
    <s v="Open Market"/>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s v="South Twickenham"/>
    <m/>
    <x v="1"/>
    <x v="0"/>
    <m/>
    <m/>
    <m/>
    <m/>
    <x v="0"/>
    <m/>
  </r>
  <r>
    <s v="14/4721/FUL"/>
    <s v="NEW"/>
    <m/>
    <d v="2015-07-30T00:00:00"/>
    <d v="2018-07-30T00:00:00"/>
    <d v="2018-06-25T00:00:00"/>
    <d v="2020-02-19T00:00:00"/>
    <x v="0"/>
    <s v="Open Market"/>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s v="Mortlake and Barnes Common"/>
    <m/>
    <x v="0"/>
    <x v="0"/>
    <s v="Mixed Use Area"/>
    <s v="White Hart lane"/>
    <m/>
    <m/>
    <x v="0"/>
    <m/>
  </r>
  <r>
    <s v="14/4793/FUL"/>
    <s v="MIX"/>
    <m/>
    <d v="2016-11-11T00:00:00"/>
    <d v="2019-11-11T00:00:00"/>
    <d v="2018-01-14T00:00:00"/>
    <d v="2019-11-20T00:00:00"/>
    <x v="0"/>
    <s v="Open Market"/>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s v="East Sheen"/>
    <m/>
    <x v="2"/>
    <x v="0"/>
    <m/>
    <m/>
    <m/>
    <m/>
    <x v="1"/>
    <s v="CA70 Sheen Lane Mortlake"/>
  </r>
  <r>
    <s v="14/5364/P3JPA"/>
    <s v="CHU"/>
    <s v="PA"/>
    <d v="2015-03-03T00:00:00"/>
    <d v="2020-03-03T00:00:00"/>
    <d v="2016-03-01T00:00:00"/>
    <d v="2019-05-31T00:00:00"/>
    <x v="0"/>
    <s v="Open Market"/>
    <m/>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s v="Hampton"/>
    <m/>
    <x v="0"/>
    <x v="0"/>
    <m/>
    <m/>
    <m/>
    <m/>
    <x v="0"/>
    <m/>
  </r>
  <r>
    <s v="15/0160/FUL"/>
    <s v="NEW"/>
    <m/>
    <d v="2016-02-05T00:00:00"/>
    <d v="2019-02-05T00:00:00"/>
    <d v="2017-10-02T00:00:00"/>
    <d v="2019-05-20T00:00:00"/>
    <x v="0"/>
    <s v="Open Market"/>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s v="Teddington"/>
    <m/>
    <x v="0"/>
    <x v="0"/>
    <m/>
    <m/>
    <m/>
    <m/>
    <x v="0"/>
    <m/>
  </r>
  <r>
    <s v="15/0421/FUL"/>
    <s v="CON"/>
    <m/>
    <d v="2016-08-04T00:00:00"/>
    <d v="2019-08-04T00:00:00"/>
    <d v="2018-03-01T00:00:00"/>
    <d v="2019-09-06T00:00:00"/>
    <x v="0"/>
    <s v="Open Market"/>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s v="South Richmond"/>
    <m/>
    <x v="0"/>
    <x v="0"/>
    <m/>
    <m/>
    <m/>
    <m/>
    <x v="1"/>
    <s v="CA30 St Matthias Richmond"/>
  </r>
  <r>
    <s v="15/1440/FUL"/>
    <s v="NEW"/>
    <m/>
    <d v="2018-09-28T00:00:00"/>
    <d v="2021-10-01T00:00:00"/>
    <d v="2019-02-01T00:00:00"/>
    <d v="2020-03-09T00:00:00"/>
    <x v="0"/>
    <s v="Open Market"/>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s v="West Twickenham"/>
    <m/>
    <x v="0"/>
    <x v="0"/>
    <s v="Mixed Use Area"/>
    <s v="Hampton Road"/>
    <m/>
    <m/>
    <x v="0"/>
    <m/>
  </r>
  <r>
    <s v="15/1638/FUL"/>
    <s v="NEW"/>
    <m/>
    <d v="2016-08-23T00:00:00"/>
    <d v="2020-06-22T00:00:00"/>
    <d v="2018-02-01T00:00:00"/>
    <d v="2019-10-21T00:00:00"/>
    <x v="0"/>
    <s v="Open Market"/>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s v="St. Margarets and North Twickenham"/>
    <m/>
    <x v="0"/>
    <x v="0"/>
    <m/>
    <m/>
    <m/>
    <m/>
    <x v="0"/>
    <m/>
  </r>
  <r>
    <s v="15/2440/VRC"/>
    <s v="NEW"/>
    <m/>
    <d v="2015-08-04T00:00:00"/>
    <d v="2018-08-04T00:00:00"/>
    <d v="2018-04-01T00:00:00"/>
    <d v="2019-10-18T00:00:00"/>
    <x v="0"/>
    <s v="Open Market"/>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s v="Kew"/>
    <m/>
    <x v="0"/>
    <x v="0"/>
    <m/>
    <m/>
    <m/>
    <m/>
    <x v="0"/>
    <m/>
  </r>
  <r>
    <s v="15/2452/FUL"/>
    <s v="NEW"/>
    <m/>
    <d v="2015-07-27T00:00:00"/>
    <d v="2018-07-27T00:00:00"/>
    <d v="2016-05-12T00:00:00"/>
    <d v="2019-08-28T00:00:00"/>
    <x v="0"/>
    <s v="Open Market"/>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s v="Twickenham Riverside"/>
    <m/>
    <x v="0"/>
    <x v="0"/>
    <m/>
    <m/>
    <m/>
    <m/>
    <x v="0"/>
    <m/>
  </r>
  <r>
    <s v="15/3183/FUL"/>
    <s v="CON"/>
    <m/>
    <d v="2015-12-29T00:00:00"/>
    <d v="2018-12-30T00:00:00"/>
    <d v="2018-12-03T00:00:00"/>
    <d v="2019-07-01T00:00:00"/>
    <x v="0"/>
    <s v="Open Market"/>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s v="Fulwell and Hampton Hill"/>
    <m/>
    <x v="0"/>
    <x v="0"/>
    <m/>
    <m/>
    <m/>
    <m/>
    <x v="1"/>
    <s v="CA61 Bushy Park"/>
  </r>
  <r>
    <s v="15/4230/FUL"/>
    <s v="EXT"/>
    <m/>
    <d v="2016-06-02T00:00:00"/>
    <d v="2019-06-02T00:00:00"/>
    <d v="2017-06-05T00:00:00"/>
    <d v="2019-08-29T00:00:00"/>
    <x v="0"/>
    <s v="Open Market"/>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s v="Twickenham Riverside"/>
    <m/>
    <x v="0"/>
    <x v="0"/>
    <m/>
    <m/>
    <m/>
    <m/>
    <x v="0"/>
    <m/>
  </r>
  <r>
    <s v="15/4281/GPD15"/>
    <s v="CHU"/>
    <s v="PA"/>
    <d v="2015-12-08T00:00:00"/>
    <d v="2020-12-09T00:00:00"/>
    <m/>
    <d v="2019-04-01T00:00:00"/>
    <x v="0"/>
    <s v="Open Market"/>
    <m/>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s v="Hampton Wick"/>
    <m/>
    <x v="0"/>
    <x v="0"/>
    <m/>
    <m/>
    <m/>
    <m/>
    <x v="0"/>
    <m/>
  </r>
  <r>
    <s v="15/4835/FUL"/>
    <s v="NEW"/>
    <m/>
    <d v="2016-09-06T00:00:00"/>
    <d v="2019-09-07T00:00:00"/>
    <m/>
    <d v="2019-07-31T00:00:00"/>
    <x v="0"/>
    <s v="Open Market"/>
    <m/>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s v="Fulwell and Hampton Hill"/>
    <m/>
    <x v="0"/>
    <x v="0"/>
    <m/>
    <m/>
    <m/>
    <m/>
    <x v="0"/>
    <m/>
  </r>
  <r>
    <s v="15/5216/FUL"/>
    <s v="NEW"/>
    <m/>
    <d v="2016-09-08T00:00:00"/>
    <d v="2019-10-21T00:00:00"/>
    <d v="2017-11-01T00:00:00"/>
    <d v="2019-06-30T00:00:00"/>
    <x v="0"/>
    <s v="Affordable Rent"/>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s v="Hampton Wick"/>
    <m/>
    <x v="0"/>
    <x v="0"/>
    <m/>
    <m/>
    <m/>
    <m/>
    <x v="1"/>
    <s v="CA59 Normansfield Teddington"/>
  </r>
  <r>
    <s v="15/5369/FUL"/>
    <s v="NEW"/>
    <m/>
    <d v="2016-06-15T00:00:00"/>
    <d v="2019-06-17T00:00:00"/>
    <m/>
    <d v="2019-07-30T00:00:00"/>
    <x v="0"/>
    <s v="Open Market"/>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s v="Hampton"/>
    <m/>
    <x v="0"/>
    <x v="0"/>
    <m/>
    <m/>
    <m/>
    <m/>
    <x v="0"/>
    <m/>
  </r>
  <r>
    <s v="16/0234/FUL"/>
    <s v="NEW"/>
    <m/>
    <d v="2016-10-14T00:00:00"/>
    <d v="2019-10-14T00:00:00"/>
    <d v="2017-12-01T00:00:00"/>
    <d v="2019-07-19T00:00:00"/>
    <x v="0"/>
    <s v="Open Market"/>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s v="South Twickenham"/>
    <s v="Garden Land"/>
    <x v="0"/>
    <x v="0"/>
    <m/>
    <m/>
    <m/>
    <m/>
    <x v="0"/>
    <m/>
  </r>
  <r>
    <s v="16/1293/FUL"/>
    <s v="EXT"/>
    <m/>
    <d v="2017-11-20T00:00:00"/>
    <d v="2020-11-21T00:00:00"/>
    <d v="2018-02-01T00:00:00"/>
    <d v="2019-10-11T00:00:00"/>
    <x v="0"/>
    <s v="Open Market"/>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s v="South Twickenham"/>
    <m/>
    <x v="1"/>
    <x v="0"/>
    <m/>
    <m/>
    <m/>
    <m/>
    <x v="0"/>
    <m/>
  </r>
  <r>
    <s v="16/1344/FUL"/>
    <s v="CHU"/>
    <m/>
    <d v="2017-05-18T00:00:00"/>
    <d v="2020-05-18T00:00:00"/>
    <d v="2018-01-08T00:00:00"/>
    <d v="2019-09-03T00:00:00"/>
    <x v="0"/>
    <s v="Open Market"/>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s v="St. Margarets and North Twickenham"/>
    <m/>
    <x v="0"/>
    <x v="0"/>
    <s v="Mixed Use Area"/>
    <s v="St Margarets"/>
    <m/>
    <m/>
    <x v="1"/>
    <s v="CA49 Crown Road St Margarets"/>
  </r>
  <r>
    <s v="16/1729/FUL"/>
    <s v="MIX"/>
    <m/>
    <d v="2017-01-16T00:00:00"/>
    <d v="2020-05-03T00:00:00"/>
    <d v="2018-02-01T00:00:00"/>
    <d v="2019-08-01T00:00:00"/>
    <x v="0"/>
    <s v="Open Market"/>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s v="Hampton"/>
    <m/>
    <x v="0"/>
    <x v="0"/>
    <s v="Mixed Use Area"/>
    <s v="Station Road"/>
    <m/>
    <m/>
    <x v="1"/>
    <s v="CA12 Hampton Village"/>
  </r>
  <r>
    <s v="16/1935/GPD15"/>
    <s v="CHU"/>
    <s v="PA"/>
    <d v="2016-07-04T00:00:00"/>
    <d v="2019-07-19T00:00:00"/>
    <d v="2018-10-01T00:00:00"/>
    <d v="2019-09-30T00:00:00"/>
    <x v="0"/>
    <s v="Open Market"/>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s v="Fulwell and Hampton Hill"/>
    <m/>
    <x v="0"/>
    <x v="0"/>
    <s v="Mixed Use Area"/>
    <s v="High Street"/>
    <m/>
    <m/>
    <x v="1"/>
    <s v="CA38 High Street Hampton Hill"/>
  </r>
  <r>
    <s v="16/2042/FUL"/>
    <s v="CON"/>
    <m/>
    <d v="2018-10-19T00:00:00"/>
    <d v="2021-10-19T00:00:00"/>
    <d v="2019-03-01T00:00:00"/>
    <d v="2020-03-02T00:00:00"/>
    <x v="0"/>
    <s v="Open Market"/>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s v="St. Margarets and North Twickenham"/>
    <m/>
    <x v="0"/>
    <x v="0"/>
    <m/>
    <m/>
    <m/>
    <m/>
    <x v="0"/>
    <m/>
  </r>
  <r>
    <s v="16/2158/FUL"/>
    <s v="CON"/>
    <m/>
    <d v="2016-08-05T00:00:00"/>
    <d v="2019-08-05T00:00:00"/>
    <d v="2016-09-29T00:00:00"/>
    <d v="2020-03-31T00:00:00"/>
    <x v="0"/>
    <s v="Open Market"/>
    <m/>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s v="St. Margarets and North Twickenham"/>
    <m/>
    <x v="0"/>
    <x v="1"/>
    <m/>
    <m/>
    <m/>
    <m/>
    <x v="1"/>
    <s v="CA19 St Margarets"/>
  </r>
  <r>
    <s v="16/2348/FUL"/>
    <s v="NEW"/>
    <m/>
    <d v="2016-11-30T00:00:00"/>
    <d v="2019-11-30T00:00:00"/>
    <d v="2018-04-25T00:00:00"/>
    <d v="2020-03-31T00:00:00"/>
    <x v="0"/>
    <s v="Open Market"/>
    <m/>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s v="North Richmond"/>
    <m/>
    <x v="0"/>
    <x v="0"/>
    <m/>
    <m/>
    <m/>
    <m/>
    <x v="0"/>
    <m/>
  </r>
  <r>
    <s v="16/2502/FUL"/>
    <s v="NEW"/>
    <m/>
    <d v="2017-03-16T00:00:00"/>
    <d v="2020-03-17T00:00:00"/>
    <d v="2018-02-01T00:00:00"/>
    <d v="2019-09-27T00:00:00"/>
    <x v="0"/>
    <s v="Open Market"/>
    <m/>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s v="South Twickenham"/>
    <m/>
    <x v="0"/>
    <x v="1"/>
    <m/>
    <m/>
    <m/>
    <m/>
    <x v="0"/>
    <m/>
  </r>
  <r>
    <s v="16/2975/GPD15"/>
    <s v="CHU"/>
    <s v="PA"/>
    <d v="2016-09-14T00:00:00"/>
    <d v="2019-09-14T00:00:00"/>
    <d v="2019-01-09T00:00:00"/>
    <d v="2019-12-23T00:00:00"/>
    <x v="0"/>
    <s v="Open Market"/>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s v="Twickenham Riverside"/>
    <m/>
    <x v="1"/>
    <x v="0"/>
    <m/>
    <m/>
    <m/>
    <m/>
    <x v="1"/>
    <s v="CA47 Queens Road Twickenham"/>
  </r>
  <r>
    <s v="16/3210/GPD15"/>
    <s v="CHU"/>
    <s v="PA"/>
    <d v="2016-09-30T00:00:00"/>
    <d v="2019-09-30T00:00:00"/>
    <d v="2019-04-02T00:00:00"/>
    <d v="2020-02-11T00:00:00"/>
    <x v="0"/>
    <s v="Open Market"/>
    <m/>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s v="Whitton"/>
    <m/>
    <x v="3"/>
    <x v="0"/>
    <m/>
    <m/>
    <m/>
    <m/>
    <x v="0"/>
    <m/>
  </r>
  <r>
    <s v="16/3247/FUL"/>
    <s v="NEW"/>
    <m/>
    <d v="2017-07-14T00:00:00"/>
    <d v="2020-10-31T00:00:00"/>
    <d v="2018-10-01T00:00:00"/>
    <d v="2020-01-21T00:00:00"/>
    <x v="0"/>
    <s v="Open Market"/>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s v="Heathfield"/>
    <m/>
    <x v="0"/>
    <x v="0"/>
    <m/>
    <m/>
    <m/>
    <m/>
    <x v="0"/>
    <m/>
  </r>
  <r>
    <s v="16/3485/FUL"/>
    <s v="CON"/>
    <m/>
    <d v="2017-10-30T00:00:00"/>
    <d v="2020-10-30T00:00:00"/>
    <d v="2020-01-10T00:00:00"/>
    <d v="2019-07-01T00:00:00"/>
    <x v="0"/>
    <s v="Open Market"/>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s v="Fulwell and Hampton Hill"/>
    <m/>
    <x v="0"/>
    <x v="0"/>
    <m/>
    <m/>
    <m/>
    <m/>
    <x v="1"/>
    <s v="CA61 Bushy Park"/>
  </r>
  <r>
    <s v="16/3552/FUL"/>
    <s v="MIX"/>
    <m/>
    <d v="2018-04-24T00:00:00"/>
    <d v="2021-04-24T00:00:00"/>
    <d v="2018-04-25T00:00:00"/>
    <d v="2020-03-30T00:00:00"/>
    <x v="0"/>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s v="Ham, Petersham and Richmond Riverside"/>
    <m/>
    <x v="0"/>
    <x v="0"/>
    <m/>
    <m/>
    <m/>
    <m/>
    <x v="1"/>
    <s v="CA7 Ham Common"/>
  </r>
  <r>
    <s v="16/3685/FUL"/>
    <s v="MIX"/>
    <m/>
    <d v="2016-11-16T00:00:00"/>
    <d v="2021-02-15T00:00:00"/>
    <d v="2018-06-22T00:00:00"/>
    <d v="2019-08-31T00:00:00"/>
    <x v="0"/>
    <s v="Open Market"/>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s v="St. Margarets and North Twickenham"/>
    <m/>
    <x v="0"/>
    <x v="0"/>
    <m/>
    <m/>
    <m/>
    <m/>
    <x v="0"/>
    <m/>
  </r>
  <r>
    <s v="16/4193/FUL"/>
    <s v="NEW"/>
    <m/>
    <d v="2017-07-19T00:00:00"/>
    <d v="2020-07-19T00:00:00"/>
    <m/>
    <d v="2019-11-13T00:00:00"/>
    <x v="0"/>
    <s v="Open Market"/>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s v="Hampton North"/>
    <m/>
    <x v="0"/>
    <x v="0"/>
    <m/>
    <m/>
    <m/>
    <m/>
    <x v="0"/>
    <m/>
  </r>
  <r>
    <s v="17/0164/GPD15"/>
    <s v="CHU"/>
    <s v="PA"/>
    <d v="2017-03-10T00:00:00"/>
    <d v="2020-03-10T00:00:00"/>
    <d v="2018-10-01T00:00:00"/>
    <d v="2019-04-24T00:00:00"/>
    <x v="0"/>
    <s v="Open Market"/>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s v="Twickenham Riverside"/>
    <m/>
    <x v="1"/>
    <x v="0"/>
    <m/>
    <m/>
    <m/>
    <m/>
    <x v="1"/>
    <s v="CA47 Queens Road Twickenham"/>
  </r>
  <r>
    <s v="17/0396/FUL"/>
    <s v="NEW"/>
    <m/>
    <d v="2017-06-05T00:00:00"/>
    <d v="2020-06-05T00:00:00"/>
    <d v="2019-02-01T00:00:00"/>
    <d v="2020-03-23T00:00:00"/>
    <x v="0"/>
    <s v="Affordable Rent"/>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s v="Ham, Petersham and Richmond Riverside"/>
    <m/>
    <x v="0"/>
    <x v="0"/>
    <m/>
    <m/>
    <m/>
    <m/>
    <x v="0"/>
    <m/>
  </r>
  <r>
    <s v="17/0460/FUL"/>
    <s v="CON"/>
    <m/>
    <d v="2017-07-14T00:00:00"/>
    <d v="2020-07-14T00:00:00"/>
    <m/>
    <d v="2020-03-31T00:00:00"/>
    <x v="0"/>
    <s v="Open Market"/>
    <m/>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s v="Barnes"/>
    <m/>
    <x v="0"/>
    <x v="0"/>
    <m/>
    <m/>
    <m/>
    <m/>
    <x v="1"/>
    <s v="CA25 Castelnau"/>
  </r>
  <r>
    <s v="17/0733/FUL"/>
    <s v="CON"/>
    <m/>
    <d v="2017-09-13T00:00:00"/>
    <d v="2020-09-13T00:00:00"/>
    <d v="2019-10-31T00:00:00"/>
    <d v="2020-03-18T00:00:00"/>
    <x v="0"/>
    <s v="Open Market"/>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s v="East Sheen"/>
    <m/>
    <x v="2"/>
    <x v="0"/>
    <m/>
    <m/>
    <m/>
    <m/>
    <x v="0"/>
    <m/>
  </r>
  <r>
    <s v="17/0956/FUL"/>
    <s v="NEW"/>
    <m/>
    <d v="2017-09-14T00:00:00"/>
    <d v="2020-09-14T00:00:00"/>
    <d v="2019-01-14T00:00:00"/>
    <d v="2020-02-20T00:00:00"/>
    <x v="0"/>
    <s v="Open Market"/>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s v="Barnes"/>
    <m/>
    <x v="0"/>
    <x v="0"/>
    <s v="Mixed Use Area"/>
    <s v="Church Road/Castelnau"/>
    <m/>
    <m/>
    <x v="0"/>
    <m/>
  </r>
  <r>
    <s v="17/1207/FUL"/>
    <s v="NEW"/>
    <m/>
    <d v="2017-10-24T00:00:00"/>
    <d v="2020-10-24T00:00:00"/>
    <d v="2018-10-01T00:00:00"/>
    <d v="2019-11-18T00:00:00"/>
    <x v="0"/>
    <s v="Open Market"/>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s v="Kew"/>
    <m/>
    <x v="0"/>
    <x v="0"/>
    <m/>
    <m/>
    <m/>
    <m/>
    <x v="1"/>
    <s v="CA15 Kew Gardens Kew"/>
  </r>
  <r>
    <s v="17/1286/VRC"/>
    <s v="NEW"/>
    <m/>
    <d v="2017-10-05T00:00:00"/>
    <d v="2017-12-09T00:00:00"/>
    <d v="2017-10-05T00:00:00"/>
    <d v="2019-08-19T00:00:00"/>
    <x v="0"/>
    <s v="Affordable Rent"/>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s v="Teddington"/>
    <m/>
    <x v="0"/>
    <x v="1"/>
    <m/>
    <m/>
    <m/>
    <m/>
    <x v="0"/>
    <m/>
  </r>
  <r>
    <s v="17/1286/VRC"/>
    <s v="NEW"/>
    <m/>
    <d v="2017-10-05T00:00:00"/>
    <d v="2017-12-09T00:00:00"/>
    <d v="2017-10-05T00:00:00"/>
    <d v="2019-12-0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s v="Teddington"/>
    <m/>
    <x v="0"/>
    <x v="1"/>
    <m/>
    <m/>
    <m/>
    <m/>
    <x v="0"/>
    <m/>
  </r>
  <r>
    <s v="17/1286/VRC"/>
    <s v="NEW"/>
    <m/>
    <d v="2017-10-05T00:00:00"/>
    <d v="2017-12-09T00:00:00"/>
    <d v="2017-10-05T00:00:00"/>
    <d v="2019-04-2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s v="Teddington"/>
    <m/>
    <x v="0"/>
    <x v="1"/>
    <m/>
    <m/>
    <m/>
    <m/>
    <x v="0"/>
    <m/>
  </r>
  <r>
    <s v="17/1621/FUL"/>
    <s v="CHU"/>
    <m/>
    <d v="2017-10-09T00:00:00"/>
    <d v="2021-04-03T00:00:00"/>
    <d v="2019-09-05T00:00:00"/>
    <d v="2019-10-29T00:00:00"/>
    <x v="0"/>
    <s v="Open Market"/>
    <m/>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s v="South Richmond"/>
    <m/>
    <x v="4"/>
    <x v="0"/>
    <m/>
    <m/>
    <m/>
    <m/>
    <x v="1"/>
    <s v="CA17 Central Richmond"/>
  </r>
  <r>
    <s v="17/2534/FUL"/>
    <s v="CON"/>
    <m/>
    <d v="2018-02-22T00:00:00"/>
    <d v="2021-02-22T00:00:00"/>
    <d v="2019-03-01T00:00:00"/>
    <d v="2020-03-25T00:00:00"/>
    <x v="0"/>
    <s v="Open Market"/>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s v="South Richmond"/>
    <m/>
    <x v="0"/>
    <x v="0"/>
    <m/>
    <m/>
    <m/>
    <m/>
    <x v="1"/>
    <s v="CA30 St Matthias Richmond"/>
  </r>
  <r>
    <s v="17/2779/NMA"/>
    <s v="NEW"/>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s v="Ham, Petersham and Richmond Riverside"/>
    <m/>
    <x v="0"/>
    <x v="0"/>
    <m/>
    <m/>
    <m/>
    <m/>
    <x v="0"/>
    <m/>
  </r>
  <r>
    <s v="17/2779/NMA"/>
    <s v="NEW"/>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s v="Ham, Petersham and Richmond Riverside"/>
    <m/>
    <x v="0"/>
    <x v="0"/>
    <m/>
    <m/>
    <m/>
    <m/>
    <x v="0"/>
    <m/>
  </r>
  <r>
    <s v="17/2995/FUL"/>
    <s v="CHU"/>
    <m/>
    <d v="2018-04-24T00:00:00"/>
    <d v="2021-04-24T00:00:00"/>
    <d v="2019-01-31T00:00:00"/>
    <d v="2019-04-10T00:00:00"/>
    <x v="0"/>
    <s v="Open Market"/>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s v="North Richmond"/>
    <m/>
    <x v="0"/>
    <x v="0"/>
    <m/>
    <m/>
    <m/>
    <m/>
    <x v="1"/>
    <s v="CA17 Central Richmond"/>
  </r>
  <r>
    <s v="17/3132/FUL"/>
    <s v="NEW"/>
    <m/>
    <d v="2018-10-16T00:00:00"/>
    <d v="2021-10-16T00:00:00"/>
    <d v="2019-02-05T00:00:00"/>
    <d v="2020-03-31T00:00:00"/>
    <x v="0"/>
    <s v="Open Market"/>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s v="Twickenham Riverside"/>
    <s v="Garden Land"/>
    <x v="0"/>
    <x v="0"/>
    <m/>
    <m/>
    <m/>
    <m/>
    <x v="0"/>
    <m/>
  </r>
  <r>
    <s v="17/3347/FUL"/>
    <s v="NEW"/>
    <m/>
    <d v="2018-07-25T00:00:00"/>
    <d v="2021-07-25T00:00:00"/>
    <d v="2018-11-01T00:00:00"/>
    <d v="2019-12-02T00:00:00"/>
    <x v="0"/>
    <s v="Open Market"/>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s v="Mortlake and Barnes Common"/>
    <m/>
    <x v="0"/>
    <x v="0"/>
    <m/>
    <m/>
    <m/>
    <m/>
    <x v="0"/>
    <m/>
  </r>
  <r>
    <s v="17/3591/FUL"/>
    <s v="CON"/>
    <m/>
    <d v="2018-10-12T00:00:00"/>
    <d v="2021-10-12T00:00:00"/>
    <m/>
    <d v="2020-03-31T00:00:00"/>
    <x v="0"/>
    <s v="Open Market"/>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s v="Whitton"/>
    <m/>
    <x v="3"/>
    <x v="0"/>
    <m/>
    <m/>
    <m/>
    <m/>
    <x v="0"/>
    <m/>
  </r>
  <r>
    <s v="17/4238/FUL"/>
    <s v="NEW"/>
    <m/>
    <d v="2018-02-23T00:00:00"/>
    <d v="2021-02-26T00:00:00"/>
    <d v="2019-02-13T00:00:00"/>
    <d v="2019-10-30T00:00:00"/>
    <x v="0"/>
    <s v="Open Market"/>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s v="Teddington"/>
    <m/>
    <x v="0"/>
    <x v="0"/>
    <m/>
    <m/>
    <m/>
    <m/>
    <x v="0"/>
    <m/>
  </r>
  <r>
    <s v="17/4606/FUL"/>
    <s v="NEW"/>
    <m/>
    <d v="2018-05-04T00:00:00"/>
    <d v="2021-05-04T00:00:00"/>
    <d v="2018-06-01T00:00:00"/>
    <d v="2019-05-31T00:00:00"/>
    <x v="0"/>
    <s v="Open Market"/>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s v="Ham, Petersham and Richmond Riverside"/>
    <m/>
    <x v="0"/>
    <x v="0"/>
    <m/>
    <m/>
    <m/>
    <m/>
    <x v="1"/>
    <s v="CA7 Ham Common"/>
  </r>
  <r>
    <s v="18/0318/FUL"/>
    <s v="CON"/>
    <m/>
    <d v="2018-10-09T00:00:00"/>
    <d v="2021-10-09T00:00:00"/>
    <d v="2018-11-01T00:00:00"/>
    <d v="2020-03-18T00:00:00"/>
    <x v="0"/>
    <s v="Open Market"/>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s v="West Twickenham"/>
    <m/>
    <x v="0"/>
    <x v="0"/>
    <m/>
    <m/>
    <m/>
    <m/>
    <x v="0"/>
    <m/>
  </r>
  <r>
    <s v="18/0433/FUL"/>
    <s v="CHU"/>
    <m/>
    <d v="2018-07-24T00:00:00"/>
    <d v="2021-07-24T00:00:00"/>
    <d v="2019-05-01T00:00:00"/>
    <d v="2019-09-14T00:00:00"/>
    <x v="0"/>
    <s v="Open Market"/>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s v="St. Margarets and North Twickenham"/>
    <m/>
    <x v="0"/>
    <x v="0"/>
    <m/>
    <m/>
    <m/>
    <m/>
    <x v="0"/>
    <m/>
  </r>
  <r>
    <s v="18/0665/FUL"/>
    <s v="NEW"/>
    <m/>
    <d v="2018-09-20T00:00:00"/>
    <d v="2021-09-20T00:00:00"/>
    <d v="2018-04-09T00:00:00"/>
    <d v="2019-08-01T00:00:00"/>
    <x v="0"/>
    <s v="Open Market"/>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s v="South Twickenham"/>
    <m/>
    <x v="0"/>
    <x v="0"/>
    <m/>
    <m/>
    <m/>
    <m/>
    <x v="0"/>
    <m/>
  </r>
  <r>
    <s v="18/0737/FUL"/>
    <s v="CHU"/>
    <m/>
    <d v="2018-12-12T00:00:00"/>
    <d v="2021-12-13T00:00:00"/>
    <d v="2019-01-08T00:00:00"/>
    <d v="2020-02-07T00:00:00"/>
    <x v="0"/>
    <s v="Open Market"/>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s v="Mortlake and Barnes Common"/>
    <m/>
    <x v="0"/>
    <x v="0"/>
    <s v="Mixed Use Area"/>
    <s v="White Hart lane"/>
    <m/>
    <m/>
    <x v="0"/>
    <m/>
  </r>
  <r>
    <s v="18/0743/FUL"/>
    <s v="NEW"/>
    <m/>
    <d v="2018-08-23T00:00:00"/>
    <d v="2021-08-23T00:00:00"/>
    <m/>
    <d v="2019-05-28T00:00:00"/>
    <x v="0"/>
    <s v="Open Market"/>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s v="West Twickenham"/>
    <s v="Garden Land"/>
    <x v="0"/>
    <x v="0"/>
    <m/>
    <m/>
    <m/>
    <m/>
    <x v="0"/>
    <m/>
  </r>
  <r>
    <s v="18/0745/FUL"/>
    <s v="CON"/>
    <m/>
    <d v="2018-07-06T00:00:00"/>
    <d v="2021-07-06T00:00:00"/>
    <d v="2018-10-01T00:00:00"/>
    <d v="2019-10-15T00:00:00"/>
    <x v="0"/>
    <s v="Open Market"/>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s v="Teddington"/>
    <m/>
    <x v="0"/>
    <x v="0"/>
    <m/>
    <m/>
    <m/>
    <m/>
    <x v="1"/>
    <s v="CA27 Teddington Lock"/>
  </r>
  <r>
    <s v="18/0860/GPD15"/>
    <s v="CHU"/>
    <s v="PA"/>
    <d v="2018-05-08T00:00:00"/>
    <d v="2021-05-08T00:00:00"/>
    <m/>
    <d v="2019-06-14T00:00:00"/>
    <x v="0"/>
    <s v="Open Market"/>
    <m/>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s v="Teddington"/>
    <m/>
    <x v="5"/>
    <x v="0"/>
    <m/>
    <m/>
    <m/>
    <m/>
    <x v="0"/>
    <m/>
  </r>
  <r>
    <s v="18/1175/FUL"/>
    <s v="EXT"/>
    <m/>
    <d v="2018-10-05T00:00:00"/>
    <d v="2021-10-05T00:00:00"/>
    <d v="2019-05-17T00:00:00"/>
    <d v="2019-09-10T00:00:00"/>
    <x v="0"/>
    <s v="Open Market"/>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s v="North Richmond"/>
    <m/>
    <x v="0"/>
    <x v="0"/>
    <m/>
    <m/>
    <m/>
    <m/>
    <x v="0"/>
    <m/>
  </r>
  <r>
    <s v="18/1360/GPD15"/>
    <s v="CHU"/>
    <s v="PA"/>
    <d v="2018-06-15T00:00:00"/>
    <d v="2021-06-15T00:00:00"/>
    <d v="2019-05-03T00:00:00"/>
    <d v="2019-09-12T00:00:00"/>
    <x v="0"/>
    <s v="Open Market"/>
    <m/>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s v="East Sheen"/>
    <m/>
    <x v="2"/>
    <x v="0"/>
    <m/>
    <m/>
    <m/>
    <m/>
    <x v="0"/>
    <m/>
  </r>
  <r>
    <s v="18/1566/FUL"/>
    <s v="CON"/>
    <m/>
    <d v="2018-09-25T00:00:00"/>
    <d v="2021-09-25T00:00:00"/>
    <d v="2019-01-31T00:00:00"/>
    <d v="2019-10-10T00:00:00"/>
    <x v="0"/>
    <s v="Open Market"/>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s v="St. Margarets and North Twickenham"/>
    <m/>
    <x v="0"/>
    <x v="0"/>
    <m/>
    <m/>
    <m/>
    <m/>
    <x v="0"/>
    <m/>
  </r>
  <r>
    <s v="18/1569/FUL"/>
    <s v="CON"/>
    <m/>
    <d v="2018-08-17T00:00:00"/>
    <d v="2022-03-11T00:00:00"/>
    <d v="2019-03-31T00:00:00"/>
    <d v="2019-05-31T00:00:00"/>
    <x v="0"/>
    <s v="Open Market"/>
    <m/>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s v="Twickenham Riverside"/>
    <m/>
    <x v="0"/>
    <x v="0"/>
    <m/>
    <m/>
    <m/>
    <m/>
    <x v="1"/>
    <s v="CA21 Cambridge Park East Twickenham"/>
  </r>
  <r>
    <s v="18/1722/GPD13"/>
    <s v="CHU"/>
    <s v="PA"/>
    <d v="2018-07-12T00:00:00"/>
    <d v="2021-07-12T00:00:00"/>
    <d v="2018-04-02T00:00:00"/>
    <d v="2019-10-14T00:00:00"/>
    <x v="0"/>
    <s v="Open Market"/>
    <m/>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s v="Fulwell and Hampton Hill"/>
    <m/>
    <x v="0"/>
    <x v="0"/>
    <s v="Mixed Use Area"/>
    <s v="Stanley Road"/>
    <m/>
    <m/>
    <x v="0"/>
    <m/>
  </r>
  <r>
    <s v="18/1817/GPD15"/>
    <s v="CHU"/>
    <s v="PA"/>
    <d v="2018-06-29T00:00:00"/>
    <d v="2021-06-29T00:00:00"/>
    <m/>
    <d v="2020-02-21T00:00:00"/>
    <x v="0"/>
    <s v="Open Market"/>
    <m/>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s v="Fulwell and Hampton Hill"/>
    <m/>
    <x v="0"/>
    <x v="0"/>
    <m/>
    <m/>
    <m/>
    <m/>
    <x v="0"/>
    <m/>
  </r>
  <r>
    <s v="18/2296/ES191"/>
    <s v="CON"/>
    <m/>
    <d v="2018-08-20T00:00:00"/>
    <d v="2019-11-29T00:00:00"/>
    <m/>
    <d v="2019-11-29T00:00:00"/>
    <x v="0"/>
    <s v="Open Market"/>
    <m/>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s v="Heathfield"/>
    <m/>
    <x v="0"/>
    <x v="0"/>
    <m/>
    <m/>
    <m/>
    <m/>
    <x v="0"/>
    <m/>
  </r>
  <r>
    <s v="18/2620/FUL"/>
    <s v="EXT"/>
    <m/>
    <d v="2019-01-04T00:00:00"/>
    <d v="2022-01-04T00:00:00"/>
    <d v="2018-04-02T00:00:00"/>
    <d v="2019-12-02T00:00:00"/>
    <x v="0"/>
    <s v="Open Market"/>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s v="Fulwell and Hampton Hill"/>
    <m/>
    <x v="0"/>
    <x v="0"/>
    <s v="Mixed Use Area"/>
    <s v="Stanley Road"/>
    <m/>
    <m/>
    <x v="0"/>
    <m/>
  </r>
  <r>
    <s v="19/0141/ES191"/>
    <s v="CHU"/>
    <m/>
    <d v="2019-06-21T00:00:00"/>
    <d v="2019-06-21T00:00:00"/>
    <d v="2019-06-21T00:00:00"/>
    <d v="2019-06-21T00:00:00"/>
    <x v="0"/>
    <s v="Open Market"/>
    <m/>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s v="St. Margarets and North Twickenham"/>
    <m/>
    <x v="0"/>
    <x v="1"/>
    <m/>
    <m/>
    <m/>
    <s v="Thames Old Deer Park"/>
    <x v="1"/>
    <s v="CA19 St Margarets"/>
  </r>
  <r>
    <s v="19/0475/FUL"/>
    <s v="MIX"/>
    <m/>
    <d v="2019-07-31T00:00:00"/>
    <d v="2022-07-31T00:00:00"/>
    <m/>
    <d v="2020-02-26T00:00:00"/>
    <x v="0"/>
    <s v="Open Market"/>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s v="Fulwell and Hampton Hill"/>
    <m/>
    <x v="0"/>
    <x v="0"/>
    <s v="Mixed Use Area"/>
    <s v="High Street"/>
    <m/>
    <m/>
    <x v="0"/>
    <m/>
  </r>
  <r>
    <s v="19/0739/FUL"/>
    <s v="CON"/>
    <m/>
    <d v="2019-10-23T00:00:00"/>
    <d v="2022-10-23T00:00:00"/>
    <m/>
    <d v="2019-10-23T00:00:00"/>
    <x v="0"/>
    <s v="Open Market"/>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s v="Kew"/>
    <m/>
    <x v="0"/>
    <x v="0"/>
    <m/>
    <m/>
    <m/>
    <m/>
    <x v="1"/>
    <s v="CA15 Kew Gardens Kew"/>
  </r>
  <r>
    <s v="19/1100/FUL"/>
    <s v="CHU"/>
    <m/>
    <d v="2019-10-10T00:00:00"/>
    <d v="2022-10-10T00:00:00"/>
    <d v="2019-10-01T00:00:00"/>
    <d v="2020-01-31T00:00:00"/>
    <x v="0"/>
    <s v="Open Market"/>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s v="St. Margarets and North Twickenham"/>
    <m/>
    <x v="0"/>
    <x v="0"/>
    <s v="Mixed Use Area"/>
    <s v="St Margarets"/>
    <m/>
    <m/>
    <x v="1"/>
    <s v="CA49 Crown Road St Margarets"/>
  </r>
  <r>
    <s v="19/1217/ES191"/>
    <s v="CON"/>
    <m/>
    <d v="2019-06-11T00:00:00"/>
    <d v="2019-06-11T00:00:00"/>
    <d v="2019-06-11T00:00:00"/>
    <d v="2019-06-11T00:00:00"/>
    <x v="0"/>
    <s v="Open Market"/>
    <m/>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s v="Twickenham Riverside"/>
    <m/>
    <x v="0"/>
    <x v="1"/>
    <m/>
    <m/>
    <m/>
    <m/>
    <x v="1"/>
    <s v="CA8 Twickenham Riverside"/>
  </r>
  <r>
    <s v="19/2022/ES191"/>
    <s v="CON"/>
    <m/>
    <d v="2019-09-16T00:00:00"/>
    <d v="2022-09-17T00:00:00"/>
    <m/>
    <d v="2019-09-17T00:00:00"/>
    <x v="0"/>
    <s v="Open Market"/>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s v="Teddington"/>
    <m/>
    <x v="0"/>
    <x v="0"/>
    <m/>
    <m/>
    <m/>
    <m/>
    <x v="0"/>
    <m/>
  </r>
  <r>
    <s v="19/2544/FUL"/>
    <s v="CHU"/>
    <m/>
    <d v="2019-12-10T00:00:00"/>
    <d v="2022-12-10T00:00:00"/>
    <m/>
    <d v="2019-12-14T00:00:00"/>
    <x v="0"/>
    <s v="Open Market"/>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s v="Hampton North"/>
    <m/>
    <x v="0"/>
    <x v="0"/>
    <m/>
    <m/>
    <m/>
    <m/>
    <x v="0"/>
    <m/>
  </r>
  <r>
    <s v="19/3241/FUL"/>
    <s v="EXT"/>
    <m/>
    <d v="2020-03-13T00:00:00"/>
    <d v="2023-03-16T00:00:00"/>
    <d v="2020-03-16T00:00:00"/>
    <d v="2020-03-16T00:00:00"/>
    <x v="0"/>
    <s v="Open Market"/>
    <m/>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s v="West Twickenham"/>
    <m/>
    <x v="0"/>
    <x v="0"/>
    <m/>
    <m/>
    <m/>
    <m/>
    <x v="0"/>
    <m/>
  </r>
  <r>
    <s v="19/3586/ES191"/>
    <s v="CHU"/>
    <m/>
    <d v="2020-01-20T00:00:00"/>
    <d v="2020-01-20T00:00:00"/>
    <m/>
    <d v="2020-01-20T00:00:00"/>
    <x v="0"/>
    <s v="Open Market"/>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s v="Heathfield"/>
    <m/>
    <x v="0"/>
    <x v="0"/>
    <m/>
    <m/>
    <m/>
    <m/>
    <x v="0"/>
    <m/>
  </r>
  <r>
    <s v="19/3757/ES191"/>
    <s v="CON"/>
    <m/>
    <d v="2020-01-31T00:00:00"/>
    <d v="2020-01-31T00:00:00"/>
    <m/>
    <d v="2020-01-31T00:00:00"/>
    <x v="0"/>
    <s v="Open Market"/>
    <m/>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s v="Twickenham Riverside"/>
    <m/>
    <x v="0"/>
    <x v="0"/>
    <m/>
    <m/>
    <m/>
    <m/>
    <x v="1"/>
    <s v="CA8 Twickenham Riverside"/>
  </r>
  <r>
    <s v="19/3854/ES191"/>
    <s v="CHU"/>
    <m/>
    <d v="2020-02-25T00:00:00"/>
    <d v="2020-02-25T00:00:00"/>
    <m/>
    <d v="2020-02-25T00:00:00"/>
    <x v="0"/>
    <s v="Open Market"/>
    <m/>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s v="Hampton"/>
    <m/>
    <x v="0"/>
    <x v="0"/>
    <s v="Mixed Use Area"/>
    <s v="Thames Street"/>
    <m/>
    <m/>
    <x v="1"/>
    <s v="CA12 Hampton Village"/>
  </r>
  <r>
    <s v="99/2063"/>
    <s v="NEW"/>
    <m/>
    <d v="2000-02-03T00:00:00"/>
    <d v="2005-02-03T00:00:00"/>
    <d v="2005-01-14T00:00:00"/>
    <d v="2019-07-18T00:00:00"/>
    <x v="0"/>
    <s v="Open Market"/>
    <m/>
    <s v="Proposed Dwelling House"/>
    <s v="6 Boileau Road Barnes"/>
    <m/>
    <m/>
    <m/>
    <m/>
    <m/>
    <m/>
    <m/>
    <m/>
    <m/>
    <n v="0"/>
    <m/>
    <n v="1"/>
    <m/>
    <m/>
    <m/>
    <m/>
    <m/>
    <m/>
    <n v="0"/>
    <n v="1"/>
    <n v="1"/>
    <n v="0"/>
    <n v="0"/>
    <n v="0"/>
    <n v="0"/>
    <n v="0"/>
    <n v="0"/>
    <n v="0"/>
    <n v="1"/>
    <m/>
    <n v="1"/>
    <n v="0"/>
    <n v="0"/>
    <n v="0"/>
    <n v="0"/>
    <n v="0"/>
    <m/>
    <m/>
    <m/>
    <m/>
    <m/>
    <n v="0"/>
    <n v="522457"/>
    <n v="177328"/>
    <s v="Barnes"/>
    <m/>
    <x v="0"/>
    <x v="0"/>
    <m/>
    <m/>
    <m/>
    <m/>
    <x v="0"/>
    <m/>
  </r>
  <r>
    <s v="13/0998/FUL"/>
    <s v="NEW"/>
    <m/>
    <d v="2013-11-05T00:00:00"/>
    <d v="2016-11-05T00:00:00"/>
    <d v="2016-08-14T00:00:00"/>
    <m/>
    <x v="1"/>
    <s v="Open Market"/>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s v="Fulwell and Hampton Hill"/>
    <m/>
    <x v="0"/>
    <x v="0"/>
    <m/>
    <m/>
    <m/>
    <m/>
    <x v="0"/>
    <m/>
  </r>
  <r>
    <s v="19/0637/FUL"/>
    <s v="NEW"/>
    <m/>
    <d v="2020-02-06T00:00:00"/>
    <d v="2023-02-06T00:00:00"/>
    <d v="2020-09-21T00:00:00"/>
    <m/>
    <x v="1"/>
    <s v="Open Market"/>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s v="Kew"/>
    <m/>
    <x v="0"/>
    <x v="0"/>
    <m/>
    <m/>
    <m/>
    <m/>
    <x v="0"/>
    <m/>
  </r>
  <r>
    <s v="19/2246/FUL"/>
    <s v="CON"/>
    <m/>
    <d v="2019-10-22T00:00:00"/>
    <d v="2022-10-22T00:00:00"/>
    <m/>
    <d v="2020-06-15T00:00:00"/>
    <x v="1"/>
    <s v="Open Market"/>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s v="Teddington"/>
    <m/>
    <x v="0"/>
    <x v="1"/>
    <m/>
    <m/>
    <m/>
    <m/>
    <x v="0"/>
    <m/>
  </r>
  <r>
    <s v="07/3348/FUL"/>
    <s v="NEW"/>
    <m/>
    <d v="2008-04-01T00:00:00"/>
    <d v="2011-04-01T00:00:00"/>
    <d v="2012-08-17T00:00:00"/>
    <m/>
    <x v="1"/>
    <s v="Open Market"/>
    <m/>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s v="Ham, Petersham and Richmond Riverside"/>
    <m/>
    <x v="0"/>
    <x v="0"/>
    <m/>
    <m/>
    <m/>
    <m/>
    <x v="0"/>
    <m/>
  </r>
  <r>
    <s v="11/1443/FUL"/>
    <s v="NEW"/>
    <m/>
    <d v="2012-03-30T00:00:00"/>
    <d v="2015-03-30T00:00:00"/>
    <d v="2015-03-14T00:00:00"/>
    <m/>
    <x v="1"/>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s v="St. Margarets and North Twickenham"/>
    <m/>
    <x v="1"/>
    <x v="0"/>
    <m/>
    <m/>
    <m/>
    <m/>
    <x v="0"/>
    <m/>
  </r>
  <r>
    <s v="13/1327/FUL"/>
    <s v="CHU"/>
    <m/>
    <d v="2013-09-03T00:00:00"/>
    <d v="2016-09-03T00:00:00"/>
    <d v="2016-08-19T00:00:00"/>
    <m/>
    <x v="1"/>
    <s v="Open Market"/>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s v="Ham, Petersham and Richmond Riverside"/>
    <m/>
    <x v="0"/>
    <x v="1"/>
    <m/>
    <m/>
    <m/>
    <m/>
    <x v="1"/>
    <s v="CA5 Richmond Hill"/>
  </r>
  <r>
    <s v="14/2118/FUL"/>
    <s v="CON"/>
    <m/>
    <d v="2014-07-18T00:00:00"/>
    <d v="2018-01-19T00:00:00"/>
    <d v="2017-10-01T00:00:00"/>
    <m/>
    <x v="1"/>
    <s v="Open Market"/>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s v="East Sheen"/>
    <m/>
    <x v="0"/>
    <x v="0"/>
    <m/>
    <m/>
    <m/>
    <m/>
    <x v="1"/>
    <s v="CA64 Sheen Lane East Sheen"/>
  </r>
  <r>
    <s v="14/2257/FUL"/>
    <s v="MIX"/>
    <m/>
    <d v="2015-03-26T00:00:00"/>
    <d v="2018-03-27T00:00:00"/>
    <d v="2016-06-01T00:00:00"/>
    <m/>
    <x v="1"/>
    <s v="Open Market"/>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s v="Heathfield"/>
    <m/>
    <x v="0"/>
    <x v="0"/>
    <m/>
    <m/>
    <m/>
    <m/>
    <x v="0"/>
    <m/>
  </r>
  <r>
    <s v="14/2797/P3JPA"/>
    <s v="CHU"/>
    <s v="PA"/>
    <d v="2015-08-20T00:00:00"/>
    <d v="2017-11-27T00:00:00"/>
    <d v="2017-06-30T00:00:00"/>
    <m/>
    <x v="1"/>
    <s v="Open Market"/>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s v="South Twickenham"/>
    <m/>
    <x v="0"/>
    <x v="0"/>
    <m/>
    <m/>
    <m/>
    <m/>
    <x v="0"/>
    <m/>
  </r>
  <r>
    <s v="14/3011/FUL"/>
    <s v="CHU"/>
    <m/>
    <d v="2015-04-17T00:00:00"/>
    <d v="2018-04-20T00:00:00"/>
    <d v="2018-04-04T00:00:00"/>
    <m/>
    <x v="1"/>
    <s v="Open Market"/>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s v="Teddington"/>
    <m/>
    <x v="5"/>
    <x v="0"/>
    <m/>
    <m/>
    <m/>
    <m/>
    <x v="0"/>
    <m/>
  </r>
  <r>
    <s v="14/3780/FUL"/>
    <s v="MIX"/>
    <m/>
    <d v="2015-04-30T00:00:00"/>
    <d v="2018-04-30T00:00:00"/>
    <d v="2016-07-01T00:00:00"/>
    <m/>
    <x v="1"/>
    <s v="Open Market"/>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s v="South Richmond"/>
    <m/>
    <x v="4"/>
    <x v="0"/>
    <m/>
    <m/>
    <m/>
    <m/>
    <x v="1"/>
    <s v="CA17 Central Richmond"/>
  </r>
  <r>
    <s v="14/4839/FUL"/>
    <s v="NEW"/>
    <m/>
    <d v="2016-07-14T00:00:00"/>
    <d v="2019-07-14T00:00:00"/>
    <d v="2019-06-01T00:00:00"/>
    <m/>
    <x v="1"/>
    <s v="Open Market"/>
    <m/>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s v="Twickenham Riverside"/>
    <m/>
    <x v="0"/>
    <x v="1"/>
    <m/>
    <m/>
    <m/>
    <m/>
    <x v="1"/>
    <s v="CA8 Twickenham Riverside"/>
  </r>
  <r>
    <s v="14/5284/FUL"/>
    <s v="CON"/>
    <m/>
    <d v="2015-02-16T00:00:00"/>
    <d v="2018-02-16T00:00:00"/>
    <d v="2018-03-23T00:00:00"/>
    <m/>
    <x v="1"/>
    <s v="Open Market"/>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s v="South Richmond"/>
    <m/>
    <x v="0"/>
    <x v="0"/>
    <m/>
    <m/>
    <m/>
    <m/>
    <x v="1"/>
    <s v="CA5 Richmond Hill"/>
  </r>
  <r>
    <s v="14/5306/FUL"/>
    <s v="CHU"/>
    <m/>
    <d v="2015-06-22T00:00:00"/>
    <d v="2018-06-22T00:00:00"/>
    <d v="2017-05-01T00:00:00"/>
    <m/>
    <x v="1"/>
    <s v="Open Market"/>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s v="North Richmond"/>
    <m/>
    <x v="4"/>
    <x v="0"/>
    <m/>
    <m/>
    <m/>
    <m/>
    <x v="1"/>
    <s v="CA17 Central Richmond"/>
  </r>
  <r>
    <s v="15/1486/FUL"/>
    <s v="NEW"/>
    <m/>
    <d v="2015-07-16T00:00:00"/>
    <d v="2018-07-16T00:00:00"/>
    <d v="2018-06-04T00:00:00"/>
    <m/>
    <x v="1"/>
    <s v="Open Market"/>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s v="Heathfield"/>
    <m/>
    <x v="0"/>
    <x v="0"/>
    <m/>
    <m/>
    <m/>
    <m/>
    <x v="0"/>
    <m/>
  </r>
  <r>
    <s v="15/2854/FUL"/>
    <s v="NEW"/>
    <m/>
    <d v="2016-06-02T00:00:00"/>
    <d v="2019-06-02T00:00:00"/>
    <d v="2019-05-01T00:00:00"/>
    <m/>
    <x v="1"/>
    <s v="Affordable Rent"/>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s v="Ham, Petersham and Richmond Riverside"/>
    <m/>
    <x v="0"/>
    <x v="0"/>
    <m/>
    <m/>
    <m/>
    <m/>
    <x v="0"/>
    <m/>
  </r>
  <r>
    <s v="15/2855/FUL"/>
    <s v="NEW"/>
    <m/>
    <d v="2016-06-02T00:00:00"/>
    <d v="2019-06-02T00:00:00"/>
    <d v="2019-05-28T00:00:00"/>
    <m/>
    <x v="1"/>
    <s v="Affordable Rent"/>
    <m/>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s v="Ham, Petersham and Richmond Riverside"/>
    <m/>
    <x v="0"/>
    <x v="0"/>
    <m/>
    <m/>
    <m/>
    <m/>
    <x v="0"/>
    <m/>
  </r>
  <r>
    <s v="15/2857/FUL"/>
    <s v="NEW"/>
    <m/>
    <d v="2016-11-17T00:00:00"/>
    <d v="2019-11-17T00:00:00"/>
    <d v="2019-10-16T00:00:00"/>
    <m/>
    <x v="1"/>
    <s v="Affordable Rent"/>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s v="Ham, Petersham and Richmond Riverside"/>
    <m/>
    <x v="0"/>
    <x v="0"/>
    <m/>
    <m/>
    <m/>
    <m/>
    <x v="0"/>
    <m/>
  </r>
  <r>
    <s v="15/3072/FUL"/>
    <s v="CHU"/>
    <m/>
    <d v="2016-10-07T00:00:00"/>
    <d v="2019-10-07T00:00:00"/>
    <d v="2018-03-01T00:00:00"/>
    <m/>
    <x v="1"/>
    <s v="Open Market"/>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s v="Teddington"/>
    <m/>
    <x v="0"/>
    <x v="0"/>
    <m/>
    <m/>
    <m/>
    <m/>
    <x v="1"/>
    <s v="CA37 High Street Teddington"/>
  </r>
  <r>
    <s v="15/3518/FUL"/>
    <s v="NEW"/>
    <m/>
    <d v="2019-03-08T00:00:00"/>
    <d v="2022-03-08T00:00:00"/>
    <d v="2019-10-01T00:00:00"/>
    <m/>
    <x v="1"/>
    <s v="Open Market"/>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s v="Twickenham Riverside"/>
    <m/>
    <x v="0"/>
    <x v="0"/>
    <m/>
    <m/>
    <m/>
    <m/>
    <x v="0"/>
    <m/>
  </r>
  <r>
    <s v="15/5217/NMA1"/>
    <s v="NEW"/>
    <m/>
    <d v="2019-10-11T00:00:00"/>
    <d v="2022-10-11T00:00:00"/>
    <d v="2019-10-16T00:00:00"/>
    <m/>
    <x v="1"/>
    <s v="Open Market"/>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s v="South Richmond"/>
    <m/>
    <x v="0"/>
    <x v="0"/>
    <m/>
    <m/>
    <m/>
    <m/>
    <x v="1"/>
    <s v="CA30 St Matthias Richmond"/>
  </r>
  <r>
    <s v="15/5351/FUL"/>
    <s v="NEW"/>
    <m/>
    <d v="2017-04-06T00:00:00"/>
    <d v="2020-04-07T00:00:00"/>
    <d v="2020-02-23T00:00:00"/>
    <m/>
    <x v="1"/>
    <s v="Open Market"/>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s v="West Twickenham"/>
    <m/>
    <x v="0"/>
    <x v="0"/>
    <m/>
    <m/>
    <m/>
    <m/>
    <x v="0"/>
    <m/>
  </r>
  <r>
    <s v="16/0058/FUL"/>
    <s v="CHU"/>
    <m/>
    <d v="2016-07-14T00:00:00"/>
    <d v="2019-07-14T00:00:00"/>
    <d v="2019-07-10T00:00:00"/>
    <m/>
    <x v="1"/>
    <s v="Open Market"/>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s v="South Richmond"/>
    <m/>
    <x v="4"/>
    <x v="0"/>
    <m/>
    <m/>
    <m/>
    <m/>
    <x v="1"/>
    <s v="CA17 Central Richmond"/>
  </r>
  <r>
    <s v="16/0432/FUL"/>
    <s v="NEW"/>
    <m/>
    <d v="2016-08-31T00:00:00"/>
    <d v="2019-08-31T00:00:00"/>
    <d v="2017-05-09T00:00:00"/>
    <m/>
    <x v="1"/>
    <s v="Open Market"/>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s v="Barnes"/>
    <m/>
    <x v="0"/>
    <x v="0"/>
    <m/>
    <m/>
    <m/>
    <m/>
    <x v="1"/>
    <s v="CA25 Castelnau"/>
  </r>
  <r>
    <s v="16/0680/FUL"/>
    <s v="EXT"/>
    <m/>
    <d v="2016-04-19T00:00:00"/>
    <d v="2019-04-19T00:00:00"/>
    <d v="2016-07-01T00:00:00"/>
    <m/>
    <x v="1"/>
    <s v="Open Market"/>
    <m/>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s v="East Sheen"/>
    <m/>
    <x v="0"/>
    <x v="0"/>
    <m/>
    <m/>
    <m/>
    <m/>
    <x v="0"/>
    <m/>
  </r>
  <r>
    <s v="16/0905/FUL"/>
    <s v="NEW"/>
    <m/>
    <d v="2017-02-23T00:00:00"/>
    <d v="2020-02-23T00:00:00"/>
    <d v="2020-02-19T00:00:00"/>
    <m/>
    <x v="1"/>
    <s v="Open Market"/>
    <m/>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s v="Kew"/>
    <m/>
    <x v="0"/>
    <x v="0"/>
    <s v="Mixed Use Area"/>
    <s v="Sandycombe Road North"/>
    <m/>
    <m/>
    <x v="1"/>
    <s v="CA15 Kew Gardens Kew"/>
  </r>
  <r>
    <s v="16/1145/FUL"/>
    <s v="CON"/>
    <m/>
    <d v="2016-12-15T00:00:00"/>
    <d v="2019-12-15T00:00:00"/>
    <d v="2019-02-01T00:00:00"/>
    <m/>
    <x v="1"/>
    <s v="Open Market"/>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s v="Hampton Wick"/>
    <m/>
    <x v="0"/>
    <x v="0"/>
    <m/>
    <m/>
    <m/>
    <m/>
    <x v="1"/>
    <s v="CA18 Hampton Wick"/>
  </r>
  <r>
    <s v="16/1373/FUL"/>
    <s v="CHU"/>
    <m/>
    <d v="2016-09-19T00:00:00"/>
    <d v="2019-09-19T00:00:00"/>
    <d v="2017-11-24T00:00:00"/>
    <m/>
    <x v="1"/>
    <s v="Open Market"/>
    <m/>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s v="South Richmond"/>
    <m/>
    <x v="4"/>
    <x v="0"/>
    <m/>
    <m/>
    <m/>
    <m/>
    <x v="1"/>
    <s v="CA3 Richmond Green"/>
  </r>
  <r>
    <s v="16/1882/FUL"/>
    <s v="NEW"/>
    <m/>
    <d v="2017-05-30T00:00:00"/>
    <d v="2020-05-30T00:00:00"/>
    <d v="2019-04-01T00:00:00"/>
    <m/>
    <x v="1"/>
    <s v="Open Market"/>
    <m/>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s v="Barnes"/>
    <m/>
    <x v="0"/>
    <x v="0"/>
    <m/>
    <m/>
    <m/>
    <m/>
    <x v="0"/>
    <m/>
  </r>
  <r>
    <s v="16/1903/FUL"/>
    <s v="CHU"/>
    <m/>
    <d v="2016-11-15T00:00:00"/>
    <d v="2020-11-01T00:00:00"/>
    <d v="2019-01-14T00:00:00"/>
    <d v="2020-05-18T00:00:00"/>
    <x v="1"/>
    <s v="Open Market"/>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s v="Kew"/>
    <m/>
    <x v="0"/>
    <x v="1"/>
    <m/>
    <m/>
    <m/>
    <m/>
    <x v="1"/>
    <s v="CA2 Kew Green"/>
  </r>
  <r>
    <s v="16/2306/FUL"/>
    <s v="CON"/>
    <m/>
    <d v="2016-08-17T00:00:00"/>
    <d v="2019-08-17T00:00:00"/>
    <d v="2019-01-14T00:00:00"/>
    <m/>
    <x v="1"/>
    <s v="Open Market"/>
    <m/>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s v="Ham, Petersham and Richmond Riverside"/>
    <m/>
    <x v="0"/>
    <x v="1"/>
    <m/>
    <m/>
    <m/>
    <m/>
    <x v="1"/>
    <s v="CA5 Richmond Hill"/>
  </r>
  <r>
    <s v="16/2637/FUL"/>
    <s v="NEW"/>
    <m/>
    <d v="2017-03-07T00:00:00"/>
    <d v="2020-03-07T00:00:00"/>
    <d v="2017-05-10T00:00:00"/>
    <m/>
    <x v="1"/>
    <s v="Open Market"/>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s v="Barnes"/>
    <m/>
    <x v="0"/>
    <x v="0"/>
    <m/>
    <m/>
    <m/>
    <m/>
    <x v="0"/>
    <m/>
  </r>
  <r>
    <s v="16/2647/FUL"/>
    <s v="NEW"/>
    <m/>
    <d v="2017-10-10T00:00:00"/>
    <d v="2020-10-10T00:00:00"/>
    <d v="2019-12-02T00:00:00"/>
    <m/>
    <x v="1"/>
    <s v="Intermediate"/>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s v="Teddington"/>
    <m/>
    <x v="5"/>
    <x v="0"/>
    <m/>
    <m/>
    <m/>
    <m/>
    <x v="0"/>
    <m/>
  </r>
  <r>
    <s v="16/2709/FUL"/>
    <s v="NEW"/>
    <m/>
    <d v="2017-04-10T00:00:00"/>
    <d v="2020-04-10T00:00:00"/>
    <d v="2020-03-22T00:00:00"/>
    <m/>
    <x v="1"/>
    <s v="Open Market"/>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s v="Barnes"/>
    <s v="Garden Land"/>
    <x v="0"/>
    <x v="0"/>
    <m/>
    <m/>
    <m/>
    <m/>
    <x v="0"/>
    <m/>
  </r>
  <r>
    <s v="16/3293/RES"/>
    <s v="NEW"/>
    <m/>
    <d v="2016-11-03T00:00:00"/>
    <d v="2019-11-03T00:00:00"/>
    <d v="2017-03-13T00:00:00"/>
    <m/>
    <x v="1"/>
    <s v="Affordable Ren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s v="St. Margarets and North Twickenham"/>
    <m/>
    <x v="0"/>
    <x v="0"/>
    <m/>
    <m/>
    <m/>
    <m/>
    <x v="0"/>
    <m/>
  </r>
  <r>
    <s v="16/3293/RES"/>
    <s v="NEW"/>
    <m/>
    <d v="2016-11-03T00:00:00"/>
    <d v="2019-11-03T00:00:00"/>
    <d v="2017-03-13T00:00:00"/>
    <m/>
    <x v="1"/>
    <s v="Open Marke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s v="St. Margarets and North Twickenham"/>
    <m/>
    <x v="0"/>
    <x v="0"/>
    <m/>
    <m/>
    <m/>
    <m/>
    <x v="0"/>
    <m/>
  </r>
  <r>
    <s v="16/3293/RES"/>
    <s v="NEW"/>
    <m/>
    <d v="2016-11-03T00:00:00"/>
    <d v="2019-11-03T00:00:00"/>
    <d v="2017-03-13T00:00:00"/>
    <m/>
    <x v="1"/>
    <s v="Intermediate"/>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s v="St. Margarets and North Twickenham"/>
    <m/>
    <x v="0"/>
    <x v="0"/>
    <m/>
    <m/>
    <m/>
    <m/>
    <x v="0"/>
    <m/>
  </r>
  <r>
    <s v="16/3450/FUL"/>
    <s v="NEW"/>
    <m/>
    <d v="2017-10-16T00:00:00"/>
    <d v="2020-10-16T00:00:00"/>
    <d v="2018-09-03T00:00:00"/>
    <d v="2020-09-09T00:00:00"/>
    <x v="1"/>
    <s v="Open Market"/>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s v="South Twickenham"/>
    <m/>
    <x v="1"/>
    <x v="0"/>
    <m/>
    <m/>
    <m/>
    <m/>
    <x v="0"/>
    <m/>
  </r>
  <r>
    <s v="16/3506/FUL"/>
    <s v="NEW"/>
    <m/>
    <d v="2018-10-11T00:00:00"/>
    <d v="2021-10-11T00:00:00"/>
    <d v="2019-10-14T00:00:00"/>
    <m/>
    <x v="1"/>
    <s v="Affordable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s v="Whitton"/>
    <m/>
    <x v="0"/>
    <x v="0"/>
    <m/>
    <m/>
    <m/>
    <m/>
    <x v="0"/>
    <m/>
  </r>
  <r>
    <s v="16/3506/FUL"/>
    <s v="NEW"/>
    <m/>
    <d v="2018-10-11T00:00:00"/>
    <d v="2021-10-11T00:00:00"/>
    <d v="2019-10-14T00:00:00"/>
    <m/>
    <x v="1"/>
    <s v="Intermediate"/>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s v="Whitton"/>
    <m/>
    <x v="0"/>
    <x v="0"/>
    <m/>
    <m/>
    <m/>
    <m/>
    <x v="0"/>
    <m/>
  </r>
  <r>
    <s v="16/3506/FUL"/>
    <s v="NEW"/>
    <m/>
    <d v="2018-10-11T00:00:00"/>
    <d v="2021-10-11T00:00:00"/>
    <d v="2019-10-14T00:00:00"/>
    <m/>
    <x v="1"/>
    <s v="Social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s v="Whitton"/>
    <m/>
    <x v="0"/>
    <x v="0"/>
    <m/>
    <m/>
    <m/>
    <m/>
    <x v="0"/>
    <m/>
  </r>
  <r>
    <s v="16/3552/FUL"/>
    <s v="MIX"/>
    <m/>
    <d v="2018-04-24T00:00:00"/>
    <d v="2021-04-24T00:00:00"/>
    <d v="2018-04-25T00:00:00"/>
    <m/>
    <x v="1"/>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s v="Ham, Petersham and Richmond Riverside"/>
    <m/>
    <x v="0"/>
    <x v="0"/>
    <m/>
    <m/>
    <m/>
    <m/>
    <x v="1"/>
    <s v="CA7 Ham Common"/>
  </r>
  <r>
    <s v="16/3625/FUL"/>
    <s v="NEW"/>
    <m/>
    <d v="2017-11-30T00:00:00"/>
    <d v="2020-11-30T00:00:00"/>
    <d v="2018-09-01T00:00:00"/>
    <m/>
    <x v="1"/>
    <s v="Open Market"/>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s v="Twickenham Riverside"/>
    <m/>
    <x v="1"/>
    <x v="0"/>
    <m/>
    <m/>
    <m/>
    <m/>
    <x v="0"/>
    <m/>
  </r>
  <r>
    <s v="16/3961/FUL"/>
    <s v="NEW"/>
    <m/>
    <d v="2017-02-20T00:00:00"/>
    <d v="2020-08-10T00:00:00"/>
    <d v="2019-01-14T00:00:00"/>
    <m/>
    <x v="1"/>
    <s v="Open Market"/>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s v="Mortlake and Barnes Common"/>
    <m/>
    <x v="0"/>
    <x v="0"/>
    <s v="Mixed Use Area"/>
    <s v="High Street"/>
    <m/>
    <m/>
    <x v="1"/>
    <s v="CA1 Barnes Green"/>
  </r>
  <r>
    <s v="16/4127/FUL"/>
    <s v="CON"/>
    <m/>
    <d v="2017-12-04T00:00:00"/>
    <d v="2021-01-30T00:00:00"/>
    <d v="2019-03-01T00:00:00"/>
    <m/>
    <x v="1"/>
    <s v="Open Market"/>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s v="Teddington"/>
    <m/>
    <x v="0"/>
    <x v="1"/>
    <m/>
    <m/>
    <m/>
    <m/>
    <x v="1"/>
    <s v="CA27 Teddington Lock"/>
  </r>
  <r>
    <s v="16/4405/FUL"/>
    <s v="NEW"/>
    <m/>
    <d v="2017-03-27T00:00:00"/>
    <d v="2020-03-27T00:00:00"/>
    <d v="2017-09-01T00:00:00"/>
    <m/>
    <x v="1"/>
    <s v="Open Market"/>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s v="West Twickenham"/>
    <m/>
    <x v="0"/>
    <x v="0"/>
    <m/>
    <m/>
    <m/>
    <m/>
    <x v="0"/>
    <m/>
  </r>
  <r>
    <s v="16/4635/FUL"/>
    <s v="NEW"/>
    <m/>
    <d v="2017-03-07T00:00:00"/>
    <d v="2020-03-07T00:00:00"/>
    <d v="2020-03-01T00:00:00"/>
    <m/>
    <x v="1"/>
    <s v="Open Market"/>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s v="Whitton"/>
    <m/>
    <x v="0"/>
    <x v="0"/>
    <m/>
    <m/>
    <m/>
    <m/>
    <x v="0"/>
    <m/>
  </r>
  <r>
    <s v="16/4772/GPD15"/>
    <s v="CHU"/>
    <s v="PA"/>
    <d v="2017-02-24T00:00:00"/>
    <d v="2020-12-21T00:00:00"/>
    <d v="2019-10-07T00:00:00"/>
    <m/>
    <x v="1"/>
    <s v="Open Market"/>
    <m/>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s v="Twickenham Riverside"/>
    <m/>
    <x v="1"/>
    <x v="0"/>
    <m/>
    <m/>
    <m/>
    <m/>
    <x v="0"/>
    <m/>
  </r>
  <r>
    <s v="16/4890/FUL"/>
    <s v="NEW"/>
    <m/>
    <d v="2017-09-08T00:00:00"/>
    <d v="2020-09-08T00:00:00"/>
    <d v="2019-03-30T00:00:00"/>
    <m/>
    <x v="1"/>
    <s v="Open Market"/>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s v="Kew"/>
    <m/>
    <x v="0"/>
    <x v="0"/>
    <m/>
    <m/>
    <m/>
    <m/>
    <x v="0"/>
    <m/>
  </r>
  <r>
    <s v="16/4902/FUL"/>
    <s v="NEW"/>
    <m/>
    <d v="2017-06-22T00:00:00"/>
    <d v="2021-11-12T00:00:00"/>
    <d v="2019-10-09T00:00:00"/>
    <m/>
    <x v="1"/>
    <s v="Open Market"/>
    <m/>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s v="South Richmond"/>
    <m/>
    <x v="0"/>
    <x v="0"/>
    <m/>
    <m/>
    <m/>
    <m/>
    <x v="1"/>
    <s v="CA31 Sheen Road Richmond"/>
  </r>
  <r>
    <s v="17/0323/FUL"/>
    <s v="NEW"/>
    <m/>
    <d v="2018-03-22T00:00:00"/>
    <d v="2021-03-23T00:00:00"/>
    <d v="2020-03-31T00:00:00"/>
    <m/>
    <x v="1"/>
    <s v="Open Market"/>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s v="Fulwell and Hampton Hill"/>
    <m/>
    <x v="0"/>
    <x v="0"/>
    <m/>
    <m/>
    <m/>
    <m/>
    <x v="0"/>
    <m/>
  </r>
  <r>
    <s v="17/0330/FUL"/>
    <s v="NEW"/>
    <m/>
    <d v="2017-08-07T00:00:00"/>
    <d v="2020-08-07T00:00:00"/>
    <d v="2018-03-20T00:00:00"/>
    <m/>
    <x v="1"/>
    <s v="Open Market"/>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s v="Hampton Wick"/>
    <s v="Garden Land"/>
    <x v="0"/>
    <x v="0"/>
    <m/>
    <m/>
    <m/>
    <m/>
    <x v="0"/>
    <m/>
  </r>
  <r>
    <s v="17/1285/GPD15"/>
    <s v="CHU"/>
    <s v="PA"/>
    <d v="2017-05-26T00:00:00"/>
    <d v="2021-12-08T00:00:00"/>
    <d v="2020-01-13T00:00:00"/>
    <m/>
    <x v="1"/>
    <s v="Open Market"/>
    <m/>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s v="Kew"/>
    <m/>
    <x v="0"/>
    <x v="0"/>
    <m/>
    <m/>
    <m/>
    <m/>
    <x v="1"/>
    <s v="CA15 Kew Gardens Kew"/>
  </r>
  <r>
    <s v="17/1286/VRC"/>
    <s v="NEW"/>
    <m/>
    <d v="2017-10-05T00:00:00"/>
    <d v="2017-12-09T00:00:00"/>
    <d v="2017-10-05T00:00:00"/>
    <d v="2020-05-15T00:00:00"/>
    <x v="1"/>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s v="Teddington"/>
    <m/>
    <x v="0"/>
    <x v="1"/>
    <m/>
    <m/>
    <m/>
    <m/>
    <x v="0"/>
    <m/>
  </r>
  <r>
    <s v="17/1453/FUL"/>
    <s v="CHU"/>
    <m/>
    <d v="2018-04-24T00:00:00"/>
    <d v="2021-04-24T00:00:00"/>
    <d v="2019-10-03T00:00:00"/>
    <m/>
    <x v="1"/>
    <s v="Open Market"/>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s v="South Twickenham"/>
    <m/>
    <x v="0"/>
    <x v="0"/>
    <m/>
    <m/>
    <m/>
    <m/>
    <x v="0"/>
    <m/>
  </r>
  <r>
    <s v="17/1937/FUL"/>
    <s v="CHU"/>
    <m/>
    <d v="2018-09-13T00:00:00"/>
    <d v="2021-09-13T00:00:00"/>
    <d v="2019-10-01T00:00:00"/>
    <m/>
    <x v="1"/>
    <s v="Open Market"/>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s v="South Twickenham"/>
    <m/>
    <x v="1"/>
    <x v="0"/>
    <m/>
    <m/>
    <m/>
    <m/>
    <x v="0"/>
    <m/>
  </r>
  <r>
    <s v="17/1996/FUL"/>
    <s v="NEW"/>
    <m/>
    <d v="2017-11-28T00:00:00"/>
    <d v="2020-11-28T00:00:00"/>
    <d v="2019-02-01T00:00:00"/>
    <m/>
    <x v="1"/>
    <s v="Open Market"/>
    <m/>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s v="North Richmond"/>
    <m/>
    <x v="0"/>
    <x v="0"/>
    <m/>
    <m/>
    <m/>
    <m/>
    <x v="0"/>
    <m/>
  </r>
  <r>
    <s v="17/2488/FUL"/>
    <s v="NEW"/>
    <m/>
    <d v="2017-08-25T00:00:00"/>
    <d v="2021-04-06T00:00:00"/>
    <d v="2018-12-01T00:00:00"/>
    <m/>
    <x v="1"/>
    <s v="Open Market"/>
    <m/>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s v="East Sheen"/>
    <m/>
    <x v="0"/>
    <x v="0"/>
    <m/>
    <m/>
    <m/>
    <m/>
    <x v="1"/>
    <s v="CA13 Christchurch Road East Sheen"/>
  </r>
  <r>
    <s v="17/2769/FUL"/>
    <s v="NEW"/>
    <m/>
    <d v="2018-04-13T00:00:00"/>
    <d v="2021-04-13T00:00:00"/>
    <d v="2018-11-30T00:00:00"/>
    <m/>
    <x v="1"/>
    <s v="Open Market"/>
    <m/>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s v="Ham, Petersham and Richmond Riverside"/>
    <m/>
    <x v="0"/>
    <x v="0"/>
    <m/>
    <m/>
    <m/>
    <m/>
    <x v="0"/>
    <m/>
  </r>
  <r>
    <s v="17/2939/FUL"/>
    <s v="CHU"/>
    <m/>
    <d v="2017-11-09T00:00:00"/>
    <d v="2020-11-09T00:00:00"/>
    <d v="2018-09-04T00:00:00"/>
    <m/>
    <x v="1"/>
    <s v="Open Market"/>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s v="Mortlake and Barnes Common"/>
    <m/>
    <x v="0"/>
    <x v="0"/>
    <s v="Mixed Use Area"/>
    <s v="White Hart lane"/>
    <m/>
    <m/>
    <x v="0"/>
    <m/>
  </r>
  <r>
    <s v="17/3667/FUL"/>
    <s v="NEW"/>
    <m/>
    <d v="2018-04-25T00:00:00"/>
    <d v="2021-04-25T00:00:00"/>
    <d v="2020-03-02T00:00:00"/>
    <m/>
    <x v="1"/>
    <s v="Open Market"/>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s v="Ham, Petersham and Richmond Riverside"/>
    <m/>
    <x v="0"/>
    <x v="1"/>
    <m/>
    <m/>
    <m/>
    <s v="Petersham Lodge"/>
    <x v="1"/>
    <s v="CA6 Petersham"/>
  </r>
  <r>
    <s v="17/4268/FUL"/>
    <s v="NEW"/>
    <m/>
    <d v="2018-05-09T00:00:00"/>
    <d v="2021-05-09T00:00:00"/>
    <d v="2019-03-01T00:00:00"/>
    <m/>
    <x v="1"/>
    <s v="Open Market"/>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s v="Barnes"/>
    <m/>
    <x v="0"/>
    <x v="0"/>
    <m/>
    <m/>
    <m/>
    <m/>
    <x v="1"/>
    <s v="CA25 Castelnau"/>
  </r>
  <r>
    <s v="17/4303/FUL"/>
    <s v="EXT"/>
    <m/>
    <d v="2018-07-20T00:00:00"/>
    <d v="2021-07-20T00:00:00"/>
    <m/>
    <d v="2020-07-07T00:00:00"/>
    <x v="1"/>
    <s v="Open Market"/>
    <m/>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s v="Fulwell and Hampton Hill"/>
    <m/>
    <x v="0"/>
    <x v="0"/>
    <m/>
    <m/>
    <m/>
    <m/>
    <x v="0"/>
    <m/>
  </r>
  <r>
    <s v="17/4368/FUL"/>
    <s v="MIX"/>
    <m/>
    <d v="2019-03-06T00:00:00"/>
    <d v="2022-03-07T00:00:00"/>
    <d v="2019-09-02T00:00:00"/>
    <m/>
    <x v="1"/>
    <s v="Open Market"/>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s v="Hampton North"/>
    <m/>
    <x v="0"/>
    <x v="0"/>
    <m/>
    <m/>
    <m/>
    <m/>
    <x v="0"/>
    <m/>
  </r>
  <r>
    <s v="17/4517/VRC"/>
    <s v="NEW"/>
    <m/>
    <d v="2018-02-26T00:00:00"/>
    <d v="2021-02-26T00:00:00"/>
    <d v="2019-03-01T00:00:00"/>
    <d v="2020-08-13T00:00:00"/>
    <x v="1"/>
    <s v="Open Market"/>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s v="East Sheen"/>
    <m/>
    <x v="0"/>
    <x v="0"/>
    <m/>
    <m/>
    <m/>
    <m/>
    <x v="0"/>
    <m/>
  </r>
  <r>
    <s v="18/0111/FUL"/>
    <s v="NEW"/>
    <m/>
    <d v="2018-06-27T00:00:00"/>
    <d v="2021-06-27T00:00:00"/>
    <d v="2019-06-15T00:00:00"/>
    <d v="2020-07-01T00:00:00"/>
    <x v="1"/>
    <s v="Open Market"/>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s v="West Twickenham"/>
    <m/>
    <x v="0"/>
    <x v="0"/>
    <m/>
    <m/>
    <m/>
    <m/>
    <x v="0"/>
    <m/>
  </r>
  <r>
    <s v="18/0216/FUL"/>
    <s v="CON"/>
    <m/>
    <d v="2018-12-05T00:00:00"/>
    <d v="2021-12-05T00:00:00"/>
    <d v="2019-11-11T00:00:00"/>
    <m/>
    <x v="1"/>
    <s v="Open Market"/>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s v="East Sheen"/>
    <m/>
    <x v="2"/>
    <x v="0"/>
    <m/>
    <m/>
    <m/>
    <m/>
    <x v="0"/>
    <m/>
  </r>
  <r>
    <s v="18/0282/FUL"/>
    <s v="NEW"/>
    <m/>
    <d v="2018-04-03T00:00:00"/>
    <d v="2021-04-03T00:00:00"/>
    <d v="2019-03-01T00:00:00"/>
    <m/>
    <x v="1"/>
    <s v="Open Market"/>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s v="Mortlake and Barnes Common"/>
    <m/>
    <x v="0"/>
    <x v="0"/>
    <m/>
    <m/>
    <m/>
    <m/>
    <x v="0"/>
    <m/>
  </r>
  <r>
    <s v="18/0449/FUL"/>
    <s v="CON"/>
    <m/>
    <d v="2018-09-07T00:00:00"/>
    <d v="2021-09-07T00:00:00"/>
    <d v="2018-11-01T00:00:00"/>
    <m/>
    <x v="1"/>
    <s v="Open Market"/>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s v="Hampton"/>
    <m/>
    <x v="0"/>
    <x v="0"/>
    <m/>
    <m/>
    <m/>
    <m/>
    <x v="1"/>
    <s v="CA11 Hampton Court Green"/>
  </r>
  <r>
    <s v="18/0692/FUL"/>
    <s v="NEW"/>
    <m/>
    <d v="2018-08-17T00:00:00"/>
    <d v="2021-08-17T00:00:00"/>
    <d v="2019-08-12T00:00:00"/>
    <m/>
    <x v="1"/>
    <s v="Open Market"/>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s v="Hampton"/>
    <s v="Garden Land"/>
    <x v="0"/>
    <x v="0"/>
    <m/>
    <m/>
    <m/>
    <m/>
    <x v="0"/>
    <m/>
  </r>
  <r>
    <s v="18/0771/FUL"/>
    <s v="NEW"/>
    <m/>
    <d v="2018-06-21T00:00:00"/>
    <d v="2021-06-21T00:00:00"/>
    <d v="2018-12-01T00:00:00"/>
    <m/>
    <x v="1"/>
    <s v="Open Market"/>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s v="Hampton North"/>
    <m/>
    <x v="0"/>
    <x v="0"/>
    <m/>
    <m/>
    <m/>
    <m/>
    <x v="0"/>
    <m/>
  </r>
  <r>
    <s v="18/0929/FUL"/>
    <s v="MIX"/>
    <m/>
    <d v="2018-11-07T00:00:00"/>
    <d v="2021-11-07T00:00:00"/>
    <d v="2018-12-03T00:00:00"/>
    <d v="2020-06-12T00:00:00"/>
    <x v="1"/>
    <s v="Open Market"/>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s v="Fulwell and Hampton Hill"/>
    <m/>
    <x v="0"/>
    <x v="0"/>
    <s v="Mixed Use Area"/>
    <s v="High Street"/>
    <m/>
    <m/>
    <x v="0"/>
    <m/>
  </r>
  <r>
    <s v="18/0946/FUL"/>
    <s v="CHU"/>
    <m/>
    <d v="2018-06-04T00:00:00"/>
    <d v="2021-06-04T00:00:00"/>
    <d v="2020-01-13T00:00:00"/>
    <m/>
    <x v="1"/>
    <s v="Open Market"/>
    <m/>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s v="Kew"/>
    <m/>
    <x v="0"/>
    <x v="0"/>
    <m/>
    <m/>
    <m/>
    <m/>
    <x v="1"/>
    <s v="CA15 Kew Gardens Kew"/>
  </r>
  <r>
    <s v="18/1619/FUL"/>
    <s v="EXT"/>
    <m/>
    <d v="2019-05-28T00:00:00"/>
    <d v="2022-05-28T00:00:00"/>
    <d v="2019-08-07T00:00:00"/>
    <d v="2020-05-12T00:00:00"/>
    <x v="1"/>
    <s v="Open Market"/>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s v="East Sheen"/>
    <m/>
    <x v="2"/>
    <x v="0"/>
    <m/>
    <m/>
    <m/>
    <m/>
    <x v="1"/>
    <s v="CA70 Sheen Lane Mortlake"/>
  </r>
  <r>
    <s v="18/1767/FUL"/>
    <s v="CHU"/>
    <m/>
    <d v="2019-01-11T00:00:00"/>
    <d v="2022-01-11T00:00:00"/>
    <d v="2019-03-01T00:00:00"/>
    <d v="2020-05-11T00:00:00"/>
    <x v="1"/>
    <s v="Open Market"/>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s v="Fulwell and Hampton Hill"/>
    <m/>
    <x v="0"/>
    <x v="0"/>
    <s v="Mixed Use Area"/>
    <s v="High Street"/>
    <m/>
    <m/>
    <x v="1"/>
    <s v="CA38 High Street Hampton Hill"/>
  </r>
  <r>
    <s v="18/1808/FUL"/>
    <s v="NEW"/>
    <m/>
    <d v="2018-11-19T00:00:00"/>
    <d v="2021-11-19T00:00:00"/>
    <d v="2019-10-16T00:00:00"/>
    <m/>
    <x v="1"/>
    <s v="Open Market"/>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s v="Teddington"/>
    <m/>
    <x v="0"/>
    <x v="0"/>
    <m/>
    <m/>
    <m/>
    <m/>
    <x v="0"/>
    <m/>
  </r>
  <r>
    <s v="18/2114/FUL"/>
    <s v="CHU"/>
    <m/>
    <d v="2018-12-20T00:00:00"/>
    <d v="2021-12-20T00:00:00"/>
    <d v="2019-02-01T00:00:00"/>
    <d v="2020-05-04T00:00:00"/>
    <x v="1"/>
    <s v="Open Market"/>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s v="Mortlake and Barnes Common"/>
    <m/>
    <x v="0"/>
    <x v="0"/>
    <s v="Mixed Use Area"/>
    <s v="High Street"/>
    <m/>
    <m/>
    <x v="1"/>
    <s v="CA1 Barnes Green"/>
  </r>
  <r>
    <s v="18/2235/VRC"/>
    <s v="CHU"/>
    <m/>
    <d v="2018-09-25T00:00:00"/>
    <d v="2021-09-25T00:00:00"/>
    <d v="2019-10-01T00:00:00"/>
    <m/>
    <x v="1"/>
    <s v="Open Market"/>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s v="Hampton"/>
    <m/>
    <x v="0"/>
    <x v="0"/>
    <s v="Mixed Use Area"/>
    <s v="Thames Street"/>
    <m/>
    <m/>
    <x v="1"/>
    <s v="CA12 Hampton Village"/>
  </r>
  <r>
    <s v="18/2322/FUL"/>
    <s v="CHU"/>
    <m/>
    <d v="2018-11-13T00:00:00"/>
    <d v="2022-05-30T00:00:00"/>
    <d v="2020-01-13T00:00:00"/>
    <m/>
    <x v="1"/>
    <s v="Open Market"/>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s v="Kew"/>
    <m/>
    <x v="0"/>
    <x v="0"/>
    <m/>
    <m/>
    <m/>
    <m/>
    <x v="1"/>
    <s v="CA15 Kew Gardens Kew"/>
  </r>
  <r>
    <s v="18/2494/FUL"/>
    <s v="NEW"/>
    <m/>
    <d v="2019-03-22T00:00:00"/>
    <d v="2022-03-22T00:00:00"/>
    <d v="2020-01-29T00:00:00"/>
    <m/>
    <x v="1"/>
    <s v="Open Market"/>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s v="East Sheen"/>
    <s v="Garden Land"/>
    <x v="0"/>
    <x v="0"/>
    <m/>
    <m/>
    <m/>
    <m/>
    <x v="0"/>
    <m/>
  </r>
  <r>
    <s v="18/2928/FUL"/>
    <s v="CHU"/>
    <m/>
    <d v="2019-03-08T00:00:00"/>
    <d v="2022-03-08T00:00:00"/>
    <d v="2019-03-29T00:00:00"/>
    <m/>
    <x v="1"/>
    <s v="Open Market"/>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s v="Teddington"/>
    <m/>
    <x v="5"/>
    <x v="0"/>
    <m/>
    <m/>
    <m/>
    <m/>
    <x v="1"/>
    <s v="CA37 High Street Teddington"/>
  </r>
  <r>
    <s v="18/3515/FUL"/>
    <s v="CON"/>
    <m/>
    <d v="2019-02-18T00:00:00"/>
    <d v="2022-02-18T00:00:00"/>
    <d v="2019-10-01T00:00:00"/>
    <d v="2020-08-13T00:00:00"/>
    <x v="1"/>
    <s v="Open Market"/>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s v="East Sheen"/>
    <m/>
    <x v="2"/>
    <x v="0"/>
    <m/>
    <m/>
    <m/>
    <m/>
    <x v="0"/>
    <m/>
  </r>
  <r>
    <s v="18/3768/FUL"/>
    <s v="CHU"/>
    <m/>
    <d v="2019-03-26T00:00:00"/>
    <d v="2022-03-26T00:00:00"/>
    <d v="2020-01-13T00:00:00"/>
    <m/>
    <x v="1"/>
    <s v="Open Market"/>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s v="Hampton"/>
    <m/>
    <x v="0"/>
    <x v="0"/>
    <m/>
    <m/>
    <m/>
    <m/>
    <x v="0"/>
    <m/>
  </r>
  <r>
    <s v="18/3804/FUL"/>
    <s v="NEW"/>
    <m/>
    <d v="2019-05-14T00:00:00"/>
    <d v="2022-05-14T00:00:00"/>
    <d v="2019-10-17T00:00:00"/>
    <m/>
    <x v="1"/>
    <s v="Open Market"/>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s v="Hampton"/>
    <m/>
    <x v="0"/>
    <x v="0"/>
    <s v="Mixed Use Area"/>
    <s v="Station Road West"/>
    <m/>
    <m/>
    <x v="0"/>
    <m/>
  </r>
  <r>
    <s v="18/3815/GPD15"/>
    <s v="CHU"/>
    <s v="PA"/>
    <d v="2019-01-18T00:00:00"/>
    <d v="2022-01-18T00:00:00"/>
    <d v="2019-11-15T00:00:00"/>
    <m/>
    <x v="1"/>
    <s v="Open Market"/>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s v="Hampton Wick"/>
    <m/>
    <x v="0"/>
    <x v="0"/>
    <s v="Mixed Use Area"/>
    <s v="Hampton Wick"/>
    <m/>
    <m/>
    <x v="1"/>
    <s v="CA18 Hampton Wick"/>
  </r>
  <r>
    <s v="18/3941/GPD15"/>
    <s v="CHU"/>
    <s v="PA"/>
    <d v="2019-01-30T00:00:00"/>
    <d v="2022-01-30T00:00:00"/>
    <d v="2019-09-14T00:00:00"/>
    <d v="2020-09-02T00:00:00"/>
    <x v="1"/>
    <s v="Open Market"/>
    <m/>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s v="Kew"/>
    <m/>
    <x v="0"/>
    <x v="0"/>
    <m/>
    <m/>
    <m/>
    <m/>
    <x v="1"/>
    <s v="CA2 Kew Green"/>
  </r>
  <r>
    <s v="19/0092/FUL"/>
    <s v="MIX"/>
    <m/>
    <d v="2019-07-03T00:00:00"/>
    <d v="2022-07-03T00:00:00"/>
    <d v="2019-08-14T00:00:00"/>
    <d v="2020-09-15T00:00:00"/>
    <x v="1"/>
    <s v="Open Market"/>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s v="Whitton"/>
    <m/>
    <x v="0"/>
    <x v="0"/>
    <m/>
    <m/>
    <m/>
    <m/>
    <x v="0"/>
    <m/>
  </r>
  <r>
    <s v="19/0111/FUL"/>
    <s v="MIX"/>
    <m/>
    <d v="2019-12-12T00:00:00"/>
    <d v="2022-12-12T00:00:00"/>
    <d v="2020-03-30T00:00:00"/>
    <m/>
    <x v="1"/>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s v="Hampton Wick"/>
    <m/>
    <x v="0"/>
    <x v="0"/>
    <m/>
    <m/>
    <m/>
    <m/>
    <x v="1"/>
    <s v="CA18 Hampton Wick"/>
  </r>
  <r>
    <s v="19/0181/GPD15"/>
    <s v="CHU"/>
    <s v="PA"/>
    <d v="2019-03-06T00:00:00"/>
    <d v="2022-03-06T00:00:00"/>
    <d v="2019-05-13T00:00:00"/>
    <d v="2020-07-02T00:00:00"/>
    <x v="1"/>
    <s v="Open Market"/>
    <m/>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s v="East Sheen"/>
    <m/>
    <x v="2"/>
    <x v="0"/>
    <m/>
    <m/>
    <m/>
    <m/>
    <x v="0"/>
    <m/>
  </r>
  <r>
    <s v="19/0347/GPD15"/>
    <s v="CHU"/>
    <s v="PA"/>
    <d v="2019-03-12T00:00:00"/>
    <d v="2022-03-13T00:00:00"/>
    <d v="2019-04-01T00:00:00"/>
    <m/>
    <x v="1"/>
    <s v="Open Market"/>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s v="South Twickenham"/>
    <m/>
    <x v="0"/>
    <x v="0"/>
    <m/>
    <m/>
    <m/>
    <m/>
    <x v="0"/>
    <m/>
  </r>
  <r>
    <s v="19/0386/FUL"/>
    <s v="NEW"/>
    <m/>
    <d v="2019-07-05T00:00:00"/>
    <d v="2022-07-05T00:00:00"/>
    <d v="2020-01-06T00:00:00"/>
    <m/>
    <x v="1"/>
    <s v="Open Market"/>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s v="Whitton"/>
    <m/>
    <x v="0"/>
    <x v="0"/>
    <m/>
    <m/>
    <m/>
    <m/>
    <x v="0"/>
    <m/>
  </r>
  <r>
    <s v="19/0551/FUL"/>
    <s v="CON"/>
    <m/>
    <d v="2019-08-21T00:00:00"/>
    <d v="2022-08-21T00:00:00"/>
    <d v="2019-11-04T00:00:00"/>
    <m/>
    <x v="1"/>
    <s v="Open Market"/>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s v="North Richmond"/>
    <m/>
    <x v="0"/>
    <x v="0"/>
    <m/>
    <m/>
    <m/>
    <m/>
    <x v="0"/>
    <m/>
  </r>
  <r>
    <s v="19/0772/GPD15"/>
    <s v="CHU"/>
    <s v="PA"/>
    <d v="2019-05-09T00:00:00"/>
    <d v="2022-05-09T00:00:00"/>
    <d v="2020-03-02T00:00:00"/>
    <m/>
    <x v="1"/>
    <s v="Open Market"/>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s v="West Twickenham"/>
    <m/>
    <x v="0"/>
    <x v="0"/>
    <m/>
    <m/>
    <m/>
    <m/>
    <x v="0"/>
    <m/>
  </r>
  <r>
    <s v="19/0867/FUL"/>
    <s v="MIX"/>
    <m/>
    <d v="2019-06-03T00:00:00"/>
    <d v="2022-06-04T00:00:00"/>
    <d v="2019-09-23T00:00:00"/>
    <d v="2020-06-04T00:00:00"/>
    <x v="1"/>
    <s v="Open Market"/>
    <m/>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s v="St. Margarets and North Twickenham"/>
    <m/>
    <x v="0"/>
    <x v="0"/>
    <m/>
    <m/>
    <m/>
    <m/>
    <x v="0"/>
    <m/>
  </r>
  <r>
    <s v="19/0893/FUL"/>
    <s v="CHU"/>
    <m/>
    <d v="2019-08-12T00:00:00"/>
    <d v="2022-08-12T00:00:00"/>
    <d v="2020-02-03T00:00:00"/>
    <m/>
    <x v="1"/>
    <s v="Open Market"/>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s v="Kew"/>
    <m/>
    <x v="0"/>
    <x v="0"/>
    <m/>
    <m/>
    <m/>
    <m/>
    <x v="1"/>
    <s v="CA2 Kew Green"/>
  </r>
  <r>
    <s v="19/0950/FUL"/>
    <s v="CHU"/>
    <m/>
    <d v="2019-08-13T00:00:00"/>
    <d v="2022-08-13T00:00:00"/>
    <d v="2020-01-28T00:00:00"/>
    <m/>
    <x v="1"/>
    <s v="Open Market"/>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s v="South Richmond"/>
    <m/>
    <x v="4"/>
    <x v="0"/>
    <m/>
    <m/>
    <m/>
    <m/>
    <x v="1"/>
    <s v="CA3 Richmond Green"/>
  </r>
  <r>
    <s v="19/0954/VRC"/>
    <s v="NEW"/>
    <m/>
    <d v="2019-10-16T00:00:00"/>
    <d v="2020-10-06T00:00:00"/>
    <d v="2019-07-24T00:00:00"/>
    <m/>
    <x v="1"/>
    <s v="Open Market"/>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s v="South Richmond"/>
    <m/>
    <x v="0"/>
    <x v="0"/>
    <m/>
    <m/>
    <m/>
    <m/>
    <x v="1"/>
    <s v="CA30 St Matthias Richmond"/>
  </r>
  <r>
    <s v="19/0974/FUL"/>
    <s v="CON"/>
    <m/>
    <d v="2019-08-02T00:00:00"/>
    <d v="2022-08-02T00:00:00"/>
    <d v="2020-02-11T00:00:00"/>
    <m/>
    <x v="1"/>
    <s v="Open Market"/>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s v="Hampton Wick"/>
    <m/>
    <x v="0"/>
    <x v="0"/>
    <s v="Mixed Use Area"/>
    <s v="Hampton Wick"/>
    <m/>
    <m/>
    <x v="1"/>
    <s v="CA18 Hampton Wick"/>
  </r>
  <r>
    <s v="19/1332/GPD13"/>
    <s v="CHU"/>
    <s v="PA"/>
    <d v="2019-07-11T00:00:00"/>
    <d v="2022-07-11T00:00:00"/>
    <d v="2019-08-01T00:00:00"/>
    <d v="2020-06-05T00:00:00"/>
    <x v="1"/>
    <s v="Open Market"/>
    <m/>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s v="Whitton"/>
    <m/>
    <x v="0"/>
    <x v="0"/>
    <m/>
    <m/>
    <m/>
    <m/>
    <x v="0"/>
    <m/>
  </r>
  <r>
    <s v="19/1455/FUL"/>
    <s v="CON"/>
    <m/>
    <d v="2019-08-06T00:00:00"/>
    <d v="2022-08-06T00:00:00"/>
    <d v="2020-01-16T00:00:00"/>
    <m/>
    <x v="1"/>
    <s v="Open Market"/>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s v="East Sheen"/>
    <m/>
    <x v="0"/>
    <x v="0"/>
    <m/>
    <m/>
    <m/>
    <m/>
    <x v="0"/>
    <m/>
  </r>
  <r>
    <s v="19/1502/FUL"/>
    <s v="CHU"/>
    <m/>
    <d v="2019-07-22T00:00:00"/>
    <d v="2022-07-22T00:00:00"/>
    <d v="2019-09-19T00:00:00"/>
    <d v="2020-07-30T00:00:00"/>
    <x v="1"/>
    <s v="Open Market"/>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s v="Mortlake and Barnes Common"/>
    <m/>
    <x v="0"/>
    <x v="0"/>
    <s v="Mixed Use Area"/>
    <s v="White Hart lane"/>
    <m/>
    <m/>
    <x v="0"/>
    <m/>
  </r>
  <r>
    <s v="19/1620/GPD15"/>
    <s v="CHU"/>
    <s v="PA"/>
    <d v="2019-07-26T00:00:00"/>
    <d v="2021-04-03T00:00:00"/>
    <m/>
    <d v="2020-04-20T00:00:00"/>
    <x v="1"/>
    <s v="Open Market"/>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s v="North Richmond"/>
    <m/>
    <x v="0"/>
    <x v="0"/>
    <m/>
    <m/>
    <m/>
    <m/>
    <x v="0"/>
    <m/>
  </r>
  <r>
    <s v="19/1622/FUL"/>
    <s v="CHU"/>
    <m/>
    <d v="2019-10-18T00:00:00"/>
    <d v="2022-10-18T00:00:00"/>
    <d v="2020-03-31T00:00:00"/>
    <m/>
    <x v="1"/>
    <s v="Open Market"/>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s v="West Twickenham"/>
    <m/>
    <x v="0"/>
    <x v="0"/>
    <m/>
    <m/>
    <m/>
    <m/>
    <x v="0"/>
    <m/>
  </r>
  <r>
    <s v="19/1978/FUL"/>
    <s v="CON"/>
    <m/>
    <d v="2019-11-11T00:00:00"/>
    <d v="2022-11-11T00:00:00"/>
    <d v="2019-11-18T00:00:00"/>
    <m/>
    <x v="1"/>
    <s v="Open Market"/>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s v="South Richmond"/>
    <m/>
    <x v="0"/>
    <x v="0"/>
    <m/>
    <m/>
    <m/>
    <m/>
    <x v="1"/>
    <s v="CA30 St Matthias Richmond"/>
  </r>
  <r>
    <s v="19/2377/GPD15"/>
    <s v="CHU"/>
    <s v="PA"/>
    <d v="2019-09-30T00:00:00"/>
    <d v="2022-09-30T00:00:00"/>
    <d v="2020-02-17T00:00:00"/>
    <m/>
    <x v="1"/>
    <s v="Open Market"/>
    <m/>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s v="St. Margarets and North Twickenham"/>
    <m/>
    <x v="0"/>
    <x v="0"/>
    <s v="Mixed Use Area"/>
    <s v="St Margarets"/>
    <m/>
    <m/>
    <x v="1"/>
    <s v="CA49 Crown Road St Margarets"/>
  </r>
  <r>
    <s v="19/3852/GPD15"/>
    <s v="CHU"/>
    <s v="PA"/>
    <d v="2020-02-06T00:00:00"/>
    <d v="2023-02-06T00:00:00"/>
    <d v="2020-02-10T00:00:00"/>
    <m/>
    <x v="1"/>
    <s v="Open Market"/>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s v="Mortlake and Barnes Common"/>
    <m/>
    <x v="0"/>
    <x v="0"/>
    <m/>
    <m/>
    <m/>
    <m/>
    <x v="0"/>
    <m/>
  </r>
  <r>
    <s v="19/3913/GPD15"/>
    <s v="CHU"/>
    <s v="PA"/>
    <d v="2020-02-14T00:00:00"/>
    <d v="2020-06-30T00:00:00"/>
    <d v="2020-03-02T00:00:00"/>
    <m/>
    <x v="1"/>
    <s v="Open Market"/>
    <m/>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s v="St. Margarets and North Twickenham"/>
    <m/>
    <x v="0"/>
    <x v="0"/>
    <m/>
    <m/>
    <m/>
    <m/>
    <x v="0"/>
    <m/>
  </r>
  <r>
    <s v="19/1669/FUL"/>
    <s v="CHU"/>
    <m/>
    <d v="2019-08-23T00:00:00"/>
    <d v="2022-08-23T00:00:00"/>
    <d v="2019-11-11T00:00:00"/>
    <m/>
    <x v="1"/>
    <s v="Open Market"/>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s v="Ham, Petersham and Richmond Riverside"/>
    <m/>
    <x v="0"/>
    <x v="1"/>
    <m/>
    <m/>
    <m/>
    <m/>
    <x v="1"/>
    <s v="CA5 Richmond Hill"/>
  </r>
  <r>
    <s v="15/2204/FUL"/>
    <s v="NEW"/>
    <m/>
    <d v="2018-07-03T00:00:00"/>
    <d v="2021-07-03T00:00:00"/>
    <m/>
    <m/>
    <x v="2"/>
    <s v="Open Market"/>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s v="Whitton"/>
    <m/>
    <x v="0"/>
    <x v="0"/>
    <m/>
    <m/>
    <m/>
    <m/>
    <x v="0"/>
    <m/>
  </r>
  <r>
    <s v="15/3296/FUL"/>
    <s v="NEW"/>
    <m/>
    <d v="2019-08-13T00:00:00"/>
    <d v="2022-08-13T00:00:00"/>
    <m/>
    <m/>
    <x v="2"/>
    <s v="Affordable Rent"/>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s v="Hampton Wick"/>
    <m/>
    <x v="0"/>
    <x v="0"/>
    <m/>
    <m/>
    <m/>
    <m/>
    <x v="0"/>
    <m/>
  </r>
  <r>
    <s v="15/3297/FUL"/>
    <s v="NEW"/>
    <m/>
    <d v="2019-08-13T00:00:00"/>
    <d v="2022-08-13T00:00:00"/>
    <m/>
    <m/>
    <x v="2"/>
    <s v="Affordable Rent"/>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s v="Hampton Wick"/>
    <m/>
    <x v="0"/>
    <x v="0"/>
    <m/>
    <m/>
    <m/>
    <m/>
    <x v="0"/>
    <m/>
  </r>
  <r>
    <s v="15/4581/FUL"/>
    <s v="NEW"/>
    <m/>
    <d v="2018-04-23T00:00:00"/>
    <d v="2021-04-23T00:00:00"/>
    <m/>
    <m/>
    <x v="2"/>
    <s v="Open Market"/>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s v="Hampton"/>
    <m/>
    <x v="0"/>
    <x v="0"/>
    <m/>
    <m/>
    <m/>
    <m/>
    <x v="1"/>
    <s v="CA12 Hampton Village"/>
  </r>
  <r>
    <s v="15/4586/FUL"/>
    <s v="NEW"/>
    <m/>
    <d v="2017-07-11T00:00:00"/>
    <d v="2020-07-11T00:00:00"/>
    <m/>
    <m/>
    <x v="2"/>
    <s v="Open Market"/>
    <m/>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s v="South Twickenham"/>
    <m/>
    <x v="0"/>
    <x v="0"/>
    <m/>
    <m/>
    <m/>
    <m/>
    <x v="0"/>
    <m/>
  </r>
  <r>
    <s v="16/0510/FUL"/>
    <s v="CHU"/>
    <m/>
    <d v="2018-07-19T00:00:00"/>
    <d v="2021-07-19T00:00:00"/>
    <m/>
    <m/>
    <x v="2"/>
    <s v="Open Market"/>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s v="South Richmond"/>
    <m/>
    <x v="0"/>
    <x v="0"/>
    <s v="Mixed Use Area"/>
    <s v="Sheen Road"/>
    <m/>
    <m/>
    <x v="1"/>
    <s v="CA31 Sheen Road Richmond"/>
  </r>
  <r>
    <s v="16/0606/FUL"/>
    <s v="MIX"/>
    <m/>
    <d v="2017-09-05T00:00:00"/>
    <d v="2020-09-05T00:00:00"/>
    <m/>
    <m/>
    <x v="2"/>
    <s v="Open Market"/>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s v="Hampton"/>
    <m/>
    <x v="0"/>
    <x v="0"/>
    <s v="Mixed Use Area"/>
    <s v="Station Road"/>
    <m/>
    <m/>
    <x v="1"/>
    <s v="CA12 Hampton Village"/>
  </r>
  <r>
    <s v="16/0647/FUL"/>
    <s v="NEW"/>
    <m/>
    <d v="2017-05-30T00:00:00"/>
    <d v="2021-04-16T00:00:00"/>
    <m/>
    <m/>
    <x v="2"/>
    <s v="Open Market"/>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s v="Hampton Wick"/>
    <m/>
    <x v="0"/>
    <x v="0"/>
    <m/>
    <m/>
    <m/>
    <m/>
    <x v="0"/>
    <m/>
  </r>
  <r>
    <s v="16/2288/FUL"/>
    <s v="EXT"/>
    <m/>
    <d v="2018-08-22T00:00:00"/>
    <d v="2021-08-22T00:00:00"/>
    <d v="2020-09-15T00:00:00"/>
    <m/>
    <x v="2"/>
    <s v="Open Market"/>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s v="Fulwell and Hampton Hill"/>
    <m/>
    <x v="0"/>
    <x v="0"/>
    <s v="Mixed Use Area"/>
    <s v="High Street"/>
    <m/>
    <m/>
    <x v="0"/>
    <m/>
  </r>
  <r>
    <s v="16/2704/FUL"/>
    <s v="NEW"/>
    <m/>
    <d v="2018-01-25T00:00:00"/>
    <d v="2021-01-25T00:00:00"/>
    <m/>
    <m/>
    <x v="2"/>
    <s v="Open Market"/>
    <m/>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s v="South Richmond"/>
    <m/>
    <x v="0"/>
    <x v="0"/>
    <m/>
    <m/>
    <m/>
    <m/>
    <x v="1"/>
    <s v="CA69 Sheen Common Drive"/>
  </r>
  <r>
    <s v="16/2736/FUL"/>
    <s v="NEW"/>
    <m/>
    <d v="2017-05-26T00:00:00"/>
    <d v="2020-05-26T00:00:00"/>
    <m/>
    <m/>
    <x v="2"/>
    <s v="Open Market"/>
    <m/>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s v="Ham, Petersham and Richmond Riverside"/>
    <m/>
    <x v="0"/>
    <x v="0"/>
    <m/>
    <m/>
    <m/>
    <m/>
    <x v="0"/>
    <m/>
  </r>
  <r>
    <s v="16/2822/FUL"/>
    <s v="EXT"/>
    <m/>
    <d v="2017-05-11T00:00:00"/>
    <d v="2020-05-11T00:00:00"/>
    <m/>
    <m/>
    <x v="2"/>
    <s v="Open Market"/>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s v="West Twickenham"/>
    <m/>
    <x v="0"/>
    <x v="0"/>
    <m/>
    <m/>
    <m/>
    <m/>
    <x v="0"/>
    <m/>
  </r>
  <r>
    <s v="16/4384/FUL"/>
    <s v="NEW"/>
    <m/>
    <d v="2017-10-27T00:00:00"/>
    <d v="2020-10-27T00:00:00"/>
    <m/>
    <m/>
    <x v="2"/>
    <s v="Open Market"/>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s v="Mortlake and Barnes Common"/>
    <s v="Garden Land"/>
    <x v="0"/>
    <x v="0"/>
    <m/>
    <m/>
    <m/>
    <m/>
    <x v="1"/>
    <s v="CA33 Mortlake"/>
  </r>
  <r>
    <s v="16/4553/FUL"/>
    <s v="NEW"/>
    <m/>
    <d v="2018-05-31T00:00:00"/>
    <d v="2021-05-31T00:00:00"/>
    <m/>
    <m/>
    <x v="2"/>
    <s v="Open Market"/>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s v="Fulwell and Hampton Hill"/>
    <m/>
    <x v="0"/>
    <x v="0"/>
    <s v="Mixed Use Area"/>
    <s v="High Street"/>
    <m/>
    <m/>
    <x v="1"/>
    <s v="CA38 High Street Hampton Hill"/>
  </r>
  <r>
    <s v="16/4587/FUL"/>
    <s v="CHU"/>
    <m/>
    <d v="2017-06-27T00:00:00"/>
    <d v="2020-06-27T00:00:00"/>
    <d v="2020-06-02T00:00:00"/>
    <m/>
    <x v="2"/>
    <s v="Open Market"/>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s v="East Sheen"/>
    <m/>
    <x v="0"/>
    <x v="0"/>
    <m/>
    <m/>
    <m/>
    <m/>
    <x v="0"/>
    <m/>
  </r>
  <r>
    <s v="17/0315/FUL"/>
    <s v="MIX"/>
    <m/>
    <d v="2018-06-12T00:00:00"/>
    <d v="2021-06-12T00:00:00"/>
    <m/>
    <m/>
    <x v="2"/>
    <s v="Open Market"/>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s v="Twickenham Riverside"/>
    <m/>
    <x v="0"/>
    <x v="0"/>
    <s v="Mixed Use Area"/>
    <s v="East Twickenham"/>
    <m/>
    <m/>
    <x v="1"/>
    <s v="CA4 Richmond Riverside"/>
  </r>
  <r>
    <s v="17/0341/GPD13"/>
    <s v="CHU"/>
    <s v="PA"/>
    <d v="2017-04-24T00:00:00"/>
    <d v="2020-04-24T00:00:00"/>
    <m/>
    <m/>
    <x v="2"/>
    <s v="Open Market"/>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s v="Teddington"/>
    <m/>
    <x v="5"/>
    <x v="0"/>
    <m/>
    <m/>
    <m/>
    <m/>
    <x v="0"/>
    <m/>
  </r>
  <r>
    <s v="17/0346/FUL"/>
    <s v="CON"/>
    <m/>
    <d v="2017-08-31T00:00:00"/>
    <d v="2020-08-31T00:00:00"/>
    <m/>
    <m/>
    <x v="2"/>
    <s v="Open Market"/>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s v="North Richmond"/>
    <m/>
    <x v="0"/>
    <x v="0"/>
    <m/>
    <m/>
    <m/>
    <m/>
    <x v="0"/>
    <m/>
  </r>
  <r>
    <s v="17/0600/FUL"/>
    <s v="CHU"/>
    <m/>
    <d v="2018-01-19T00:00:00"/>
    <d v="2021-01-19T00:00:00"/>
    <m/>
    <m/>
    <x v="2"/>
    <s v="Open Market"/>
    <m/>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s v="Twickenham Riverside"/>
    <m/>
    <x v="1"/>
    <x v="0"/>
    <m/>
    <m/>
    <m/>
    <m/>
    <x v="0"/>
    <m/>
  </r>
  <r>
    <s v="17/0788/FUL"/>
    <s v="NEW"/>
    <m/>
    <d v="2017-11-17T00:00:00"/>
    <d v="2021-01-08T00:00:00"/>
    <m/>
    <m/>
    <x v="2"/>
    <s v="Open Market"/>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s v="Teddington"/>
    <m/>
    <x v="0"/>
    <x v="0"/>
    <m/>
    <m/>
    <m/>
    <m/>
    <x v="0"/>
    <m/>
  </r>
  <r>
    <s v="17/0798/FUL"/>
    <s v="NEW"/>
    <m/>
    <d v="2017-12-01T00:00:00"/>
    <d v="2020-12-01T00:00:00"/>
    <m/>
    <m/>
    <x v="2"/>
    <s v="Open Market"/>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s v="Whitton"/>
    <s v="Garden Land"/>
    <x v="0"/>
    <x v="0"/>
    <m/>
    <m/>
    <m/>
    <m/>
    <x v="0"/>
    <m/>
  </r>
  <r>
    <s v="17/1033/FUL"/>
    <s v="NEW"/>
    <m/>
    <d v="2017-09-19T00:00:00"/>
    <d v="2021-05-23T00:00:00"/>
    <m/>
    <m/>
    <x v="2"/>
    <s v="Open Market"/>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s v="South Twickenham"/>
    <m/>
    <x v="0"/>
    <x v="0"/>
    <m/>
    <m/>
    <m/>
    <m/>
    <x v="0"/>
    <m/>
  </r>
  <r>
    <s v="17/1139/GPD15"/>
    <s v="CHU"/>
    <s v="PA"/>
    <d v="2017-05-31T00:00:00"/>
    <d v="2020-05-31T00:00:00"/>
    <m/>
    <m/>
    <x v="2"/>
    <s v="Open Market"/>
    <m/>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s v="Twickenham Riverside"/>
    <m/>
    <x v="0"/>
    <x v="0"/>
    <m/>
    <m/>
    <m/>
    <m/>
    <x v="0"/>
    <m/>
  </r>
  <r>
    <s v="17/1390/FUL"/>
    <s v="NEW"/>
    <m/>
    <d v="2018-11-15T00:00:00"/>
    <d v="2022-05-14T00:00:00"/>
    <m/>
    <m/>
    <x v="2"/>
    <s v="Open Market"/>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s v="St. Margarets and North Twickenham"/>
    <m/>
    <x v="0"/>
    <x v="0"/>
    <m/>
    <m/>
    <m/>
    <m/>
    <x v="0"/>
    <m/>
  </r>
  <r>
    <s v="17/1550/FUL"/>
    <s v="NEW"/>
    <m/>
    <d v="2018-07-09T00:00:00"/>
    <d v="2021-07-09T00:00:00"/>
    <m/>
    <m/>
    <x v="2"/>
    <s v="Open Market"/>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s v="Hampton Wick"/>
    <m/>
    <x v="0"/>
    <x v="0"/>
    <m/>
    <m/>
    <m/>
    <m/>
    <x v="1"/>
    <s v="CA18 Hampton Wick"/>
  </r>
  <r>
    <s v="17/1782/FUL"/>
    <s v="NEW"/>
    <m/>
    <d v="2019-01-14T00:00:00"/>
    <d v="2022-01-14T00:00:00"/>
    <m/>
    <m/>
    <x v="2"/>
    <s v="Open Market"/>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s v="Hampton Wick"/>
    <m/>
    <x v="0"/>
    <x v="0"/>
    <m/>
    <m/>
    <m/>
    <m/>
    <x v="0"/>
    <m/>
  </r>
  <r>
    <s v="17/2314/FUL"/>
    <s v="NEW"/>
    <m/>
    <d v="2018-04-26T00:00:00"/>
    <d v="2021-04-26T00:00:00"/>
    <m/>
    <m/>
    <x v="2"/>
    <s v="Open Market"/>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s v="Hampton North"/>
    <m/>
    <x v="0"/>
    <x v="0"/>
    <m/>
    <m/>
    <m/>
    <m/>
    <x v="0"/>
    <m/>
  </r>
  <r>
    <s v="17/2532/GPD15"/>
    <s v="CHU"/>
    <s v="PA"/>
    <d v="2017-08-09T00:00:00"/>
    <d v="2020-08-09T00:00:00"/>
    <d v="2020-06-01T00:00:00"/>
    <m/>
    <x v="2"/>
    <s v="Open Market"/>
    <m/>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s v="Kew"/>
    <m/>
    <x v="0"/>
    <x v="0"/>
    <m/>
    <m/>
    <m/>
    <m/>
    <x v="1"/>
    <s v="CA15 Kew Gardens Kew"/>
  </r>
  <r>
    <s v="17/2586/FUL"/>
    <s v="CON"/>
    <m/>
    <d v="2017-09-27T00:00:00"/>
    <d v="2020-09-27T00:00:00"/>
    <m/>
    <m/>
    <x v="2"/>
    <s v="Open Market"/>
    <m/>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s v="East Sheen"/>
    <m/>
    <x v="0"/>
    <x v="0"/>
    <m/>
    <m/>
    <m/>
    <m/>
    <x v="0"/>
    <m/>
  </r>
  <r>
    <s v="17/2597/GPD15"/>
    <s v="CHU"/>
    <s v="PA"/>
    <d v="2017-08-30T00:00:00"/>
    <d v="2020-08-30T00:00:00"/>
    <m/>
    <m/>
    <x v="2"/>
    <s v="Open Market"/>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s v="East Sheen"/>
    <m/>
    <x v="2"/>
    <x v="0"/>
    <m/>
    <m/>
    <m/>
    <m/>
    <x v="0"/>
    <m/>
  </r>
  <r>
    <s v="17/2680/FUL"/>
    <s v="NEW"/>
    <m/>
    <d v="2017-12-11T00:00:00"/>
    <d v="2021-03-14T00:00:00"/>
    <d v="2020-06-01T00:00:00"/>
    <m/>
    <x v="2"/>
    <s v="Open Market"/>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s v="Hampton"/>
    <s v="Garden Land"/>
    <x v="0"/>
    <x v="0"/>
    <m/>
    <m/>
    <m/>
    <m/>
    <x v="0"/>
    <m/>
  </r>
  <r>
    <s v="17/2693/GPD15"/>
    <s v="CHU"/>
    <s v="PA"/>
    <d v="2017-09-08T00:00:00"/>
    <d v="2020-09-08T00:00:00"/>
    <m/>
    <m/>
    <x v="2"/>
    <s v="Open Market"/>
    <m/>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s v="East Sheen"/>
    <m/>
    <x v="2"/>
    <x v="0"/>
    <m/>
    <m/>
    <m/>
    <m/>
    <x v="1"/>
    <s v="CA70 Sheen Lane Mortlake"/>
  </r>
  <r>
    <s v="17/2872/FUL"/>
    <s v="NEW"/>
    <m/>
    <d v="2019-05-30T00:00:00"/>
    <d v="2022-05-20T00:00:00"/>
    <m/>
    <m/>
    <x v="2"/>
    <s v="Open Market"/>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s v="Hampton"/>
    <m/>
    <x v="0"/>
    <x v="0"/>
    <m/>
    <m/>
    <m/>
    <m/>
    <x v="0"/>
    <m/>
  </r>
  <r>
    <s v="17/2957/FUL"/>
    <s v="CON"/>
    <m/>
    <d v="2017-12-20T00:00:00"/>
    <d v="2020-12-20T00:00:00"/>
    <m/>
    <m/>
    <x v="2"/>
    <s v="Open Market"/>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s v="Fulwell and Hampton Hill"/>
    <m/>
    <x v="0"/>
    <x v="0"/>
    <s v="Mixed Use Area"/>
    <s v="High Street"/>
    <m/>
    <m/>
    <x v="0"/>
    <m/>
  </r>
  <r>
    <s v="17/3001/GPD16"/>
    <s v="CHU"/>
    <s v="PA"/>
    <d v="2017-09-27T00:00:00"/>
    <d v="2021-06-07T00:00:00"/>
    <m/>
    <m/>
    <x v="2"/>
    <s v="Open Market"/>
    <m/>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s v="Teddington"/>
    <m/>
    <x v="5"/>
    <x v="0"/>
    <m/>
    <m/>
    <m/>
    <m/>
    <x v="0"/>
    <m/>
  </r>
  <r>
    <s v="17/3003/GPD16"/>
    <s v="CHU"/>
    <s v="PA"/>
    <d v="2017-09-27T00:00:00"/>
    <d v="2021-06-07T00:00:00"/>
    <m/>
    <m/>
    <x v="2"/>
    <s v="Open Market"/>
    <m/>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s v="Teddington"/>
    <m/>
    <x v="5"/>
    <x v="0"/>
    <m/>
    <m/>
    <m/>
    <m/>
    <x v="0"/>
    <m/>
  </r>
  <r>
    <s v="17/3054/FUL"/>
    <s v="NEW"/>
    <m/>
    <d v="2018-10-30T00:00:00"/>
    <d v="2021-10-30T00:00:00"/>
    <m/>
    <m/>
    <x v="2"/>
    <s v="Open Market"/>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s v="Twickenham Riverside"/>
    <m/>
    <x v="1"/>
    <x v="0"/>
    <m/>
    <m/>
    <m/>
    <m/>
    <x v="0"/>
    <m/>
  </r>
  <r>
    <s v="17/3077/FUL"/>
    <s v="NEW"/>
    <m/>
    <d v="2018-03-15T00:00:00"/>
    <d v="2021-03-15T00:00:00"/>
    <d v="2020-05-04T00:00:00"/>
    <m/>
    <x v="2"/>
    <s v="Open Market"/>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s v="Twickenham Riverside"/>
    <m/>
    <x v="1"/>
    <x v="0"/>
    <m/>
    <m/>
    <m/>
    <m/>
    <x v="1"/>
    <s v="CA8 Twickenham Riverside"/>
  </r>
  <r>
    <s v="17/3265/FUL"/>
    <s v="NEW"/>
    <m/>
    <d v="2018-01-15T00:00:00"/>
    <d v="2021-01-15T00:00:00"/>
    <m/>
    <m/>
    <x v="2"/>
    <s v="Open Market"/>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s v="Barnes"/>
    <m/>
    <x v="0"/>
    <x v="0"/>
    <m/>
    <m/>
    <m/>
    <m/>
    <x v="1"/>
    <s v="CA25 Castelnau"/>
  </r>
  <r>
    <s v="17/3402/GPD16"/>
    <s v="CHU"/>
    <s v="PA"/>
    <d v="2017-11-03T00:00:00"/>
    <d v="2020-11-03T00:00:00"/>
    <m/>
    <m/>
    <x v="2"/>
    <s v="Open Market"/>
    <m/>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s v="Teddington"/>
    <m/>
    <x v="5"/>
    <x v="0"/>
    <m/>
    <m/>
    <m/>
    <m/>
    <x v="0"/>
    <m/>
  </r>
  <r>
    <s v="17/3404/FUL"/>
    <s v="CHU"/>
    <m/>
    <d v="2018-02-01T00:00:00"/>
    <d v="2021-02-02T00:00:00"/>
    <m/>
    <m/>
    <x v="2"/>
    <s v="Open Market"/>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s v="Fulwell and Hampton Hill"/>
    <m/>
    <x v="0"/>
    <x v="0"/>
    <s v="Mixed Use Area"/>
    <s v="Stanley Road"/>
    <m/>
    <m/>
    <x v="0"/>
    <m/>
  </r>
  <r>
    <s v="17/3590/FUL"/>
    <s v="NEW"/>
    <m/>
    <d v="2018-07-26T00:00:00"/>
    <d v="2021-07-26T00:00:00"/>
    <m/>
    <m/>
    <x v="2"/>
    <s v="Open Market"/>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s v="Fulwell and Hampton Hill"/>
    <m/>
    <x v="0"/>
    <x v="0"/>
    <m/>
    <m/>
    <m/>
    <m/>
    <x v="0"/>
    <m/>
  </r>
  <r>
    <s v="17/3610/FUL"/>
    <s v="MIX"/>
    <m/>
    <d v="2018-03-23T00:00:00"/>
    <d v="2021-03-23T00:00:00"/>
    <m/>
    <m/>
    <x v="2"/>
    <s v="Open Market"/>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s v="Barnes"/>
    <m/>
    <x v="0"/>
    <x v="0"/>
    <s v="Mixed Use Area"/>
    <s v="High Street"/>
    <m/>
    <m/>
    <x v="1"/>
    <s v="CA1 Barnes Green"/>
  </r>
  <r>
    <s v="17/3696/GPD16"/>
    <s v="CHU"/>
    <s v="PA"/>
    <d v="2017-12-22T00:00:00"/>
    <d v="2020-12-22T00:00:00"/>
    <m/>
    <m/>
    <x v="2"/>
    <s v="Open Market"/>
    <m/>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s v="East Sheen"/>
    <m/>
    <x v="0"/>
    <x v="0"/>
    <m/>
    <m/>
    <m/>
    <m/>
    <x v="1"/>
    <s v="CA70 Sheen Lane Mortlake"/>
  </r>
  <r>
    <s v="17/3795/GPD15"/>
    <s v="CHU"/>
    <s v="PA"/>
    <d v="2017-12-11T00:00:00"/>
    <d v="2020-12-11T00:00:00"/>
    <m/>
    <m/>
    <x v="2"/>
    <s v="Open Market"/>
    <m/>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s v="Teddington"/>
    <m/>
    <x v="0"/>
    <x v="0"/>
    <m/>
    <m/>
    <m/>
    <m/>
    <x v="0"/>
    <m/>
  </r>
  <r>
    <s v="17/4005/FUL"/>
    <s v="MIX"/>
    <m/>
    <d v="2020-03-05T00:00:00"/>
    <d v="2023-03-05T00:00:00"/>
    <m/>
    <m/>
    <x v="2"/>
    <s v="Open Market"/>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s v="South Richmond"/>
    <m/>
    <x v="4"/>
    <x v="0"/>
    <m/>
    <m/>
    <m/>
    <m/>
    <x v="1"/>
    <s v="CA17 Central Richmond"/>
  </r>
  <r>
    <s v="17/4014/FUL"/>
    <s v="CHU"/>
    <m/>
    <d v="2018-11-30T00:00:00"/>
    <d v="2022-03-19T00:00:00"/>
    <m/>
    <m/>
    <x v="2"/>
    <s v="Open Market"/>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s v="South Twickenham"/>
    <m/>
    <x v="1"/>
    <x v="0"/>
    <m/>
    <m/>
    <m/>
    <m/>
    <x v="0"/>
    <m/>
  </r>
  <r>
    <s v="17/4015/FUL"/>
    <s v="NEW"/>
    <m/>
    <d v="2018-10-03T00:00:00"/>
    <d v="2021-10-03T00:00:00"/>
    <m/>
    <m/>
    <x v="2"/>
    <s v="Open Market"/>
    <m/>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s v="South Richmond"/>
    <m/>
    <x v="4"/>
    <x v="0"/>
    <m/>
    <m/>
    <m/>
    <m/>
    <x v="1"/>
    <s v="CA17 Central Richmond"/>
  </r>
  <r>
    <s v="17/4114/PS192"/>
    <s v="CHU"/>
    <s v="PA"/>
    <d v="2017-12-28T00:00:00"/>
    <d v="2020-12-28T00:00:00"/>
    <m/>
    <m/>
    <x v="2"/>
    <s v="Open Market"/>
    <m/>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s v="Teddington"/>
    <m/>
    <x v="5"/>
    <x v="0"/>
    <m/>
    <m/>
    <m/>
    <m/>
    <x v="0"/>
    <m/>
  </r>
  <r>
    <s v="17/4122/FUL"/>
    <s v="NEW"/>
    <m/>
    <d v="2018-12-21T00:00:00"/>
    <d v="2021-12-21T00:00:00"/>
    <m/>
    <m/>
    <x v="2"/>
    <s v="Open Market"/>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s v="Mortlake and Barnes Common"/>
    <m/>
    <x v="0"/>
    <x v="1"/>
    <m/>
    <m/>
    <m/>
    <m/>
    <x v="1"/>
    <s v="CA1 Barnes Green"/>
  </r>
  <r>
    <s v="17/4292/FUL"/>
    <s v="EXT"/>
    <m/>
    <d v="2018-01-25T00:00:00"/>
    <d v="2021-01-25T00:00:00"/>
    <m/>
    <m/>
    <x v="2"/>
    <s v="Open Market"/>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s v="North Richmond"/>
    <m/>
    <x v="0"/>
    <x v="0"/>
    <m/>
    <m/>
    <m/>
    <m/>
    <x v="0"/>
    <m/>
  </r>
  <r>
    <s v="17/4344/FUL"/>
    <s v="CHU"/>
    <m/>
    <d v="2018-03-09T00:00:00"/>
    <d v="2021-03-09T00:00:00"/>
    <m/>
    <m/>
    <x v="2"/>
    <s v="Open Market"/>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s v="South Richmond"/>
    <m/>
    <x v="4"/>
    <x v="0"/>
    <m/>
    <m/>
    <m/>
    <m/>
    <x v="1"/>
    <s v="CA17 Central Richmond"/>
  </r>
  <r>
    <s v="17/4422/GPD15"/>
    <s v="CHU"/>
    <s v="PA"/>
    <d v="2018-02-05T00:00:00"/>
    <d v="2021-02-05T00:00:00"/>
    <m/>
    <m/>
    <x v="2"/>
    <s v="Open Market"/>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s v="Teddington"/>
    <m/>
    <x v="0"/>
    <x v="0"/>
    <m/>
    <m/>
    <m/>
    <m/>
    <x v="0"/>
    <m/>
  </r>
  <r>
    <s v="17/4453/FUL"/>
    <s v="MIX"/>
    <m/>
    <d v="2018-05-10T00:00:00"/>
    <d v="2021-05-10T00:00:00"/>
    <m/>
    <m/>
    <x v="2"/>
    <s v="Open Market"/>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s v="Kew"/>
    <m/>
    <x v="0"/>
    <x v="0"/>
    <m/>
    <m/>
    <m/>
    <m/>
    <x v="1"/>
    <s v="CA2 Kew Green"/>
  </r>
  <r>
    <s v="17/4477/FUL"/>
    <s v="CON"/>
    <m/>
    <d v="2019-05-23T00:00:00"/>
    <d v="2022-05-23T00:00:00"/>
    <m/>
    <m/>
    <x v="2"/>
    <s v="Open Market"/>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s v="South Richmond"/>
    <m/>
    <x v="0"/>
    <x v="0"/>
    <m/>
    <m/>
    <m/>
    <m/>
    <x v="1"/>
    <s v="CA30 St Matthias Richmond"/>
  </r>
  <r>
    <s v="18/0268/FUL"/>
    <s v="NEW"/>
    <m/>
    <d v="2018-05-31T00:00:00"/>
    <d v="2021-05-31T00:00:00"/>
    <m/>
    <m/>
    <x v="2"/>
    <s v="Open Market"/>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s v="Fulwell and Hampton Hill"/>
    <m/>
    <x v="0"/>
    <x v="0"/>
    <m/>
    <m/>
    <m/>
    <m/>
    <x v="0"/>
    <m/>
  </r>
  <r>
    <s v="18/0301/FUL"/>
    <s v="NEW"/>
    <m/>
    <d v="2018-12-18T00:00:00"/>
    <d v="2021-12-18T00:00:00"/>
    <m/>
    <m/>
    <x v="2"/>
    <s v="Open Market"/>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s v="Ham, Petersham and Richmond Riverside"/>
    <m/>
    <x v="0"/>
    <x v="0"/>
    <m/>
    <m/>
    <m/>
    <m/>
    <x v="0"/>
    <m/>
  </r>
  <r>
    <s v="18/0315/FUL"/>
    <s v="NEW"/>
    <m/>
    <d v="2019-06-20T00:00:00"/>
    <d v="2022-06-20T00:00:00"/>
    <m/>
    <m/>
    <x v="2"/>
    <s v="Open Market"/>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s v="Hampton North"/>
    <m/>
    <x v="0"/>
    <x v="0"/>
    <m/>
    <m/>
    <m/>
    <m/>
    <x v="0"/>
    <m/>
  </r>
  <r>
    <s v="18/0584/GPD15"/>
    <s v="CHU"/>
    <s v="PA"/>
    <d v="2018-04-17T00:00:00"/>
    <d v="2021-05-17T00:00:00"/>
    <m/>
    <m/>
    <x v="2"/>
    <s v="Open Market"/>
    <m/>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s v="Fulwell and Hampton Hill"/>
    <m/>
    <x v="0"/>
    <x v="0"/>
    <m/>
    <m/>
    <m/>
    <m/>
    <x v="1"/>
    <s v="CA38 High Street Hampton Hill"/>
  </r>
  <r>
    <s v="18/0723/FUL"/>
    <s v="NEW"/>
    <m/>
    <d v="2018-10-04T00:00:00"/>
    <d v="2021-10-04T00:00:00"/>
    <d v="2020-06-23T00:00:00"/>
    <m/>
    <x v="2"/>
    <s v="Open Market"/>
    <m/>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s v="South Richmond"/>
    <m/>
    <x v="0"/>
    <x v="0"/>
    <m/>
    <m/>
    <m/>
    <m/>
    <x v="0"/>
    <m/>
  </r>
  <r>
    <s v="18/0866/FUL"/>
    <s v="EXT"/>
    <m/>
    <d v="2018-11-05T00:00:00"/>
    <d v="2021-11-06T00:00:00"/>
    <m/>
    <m/>
    <x v="2"/>
    <s v="Open Market"/>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s v="North Richmond"/>
    <m/>
    <x v="0"/>
    <x v="0"/>
    <m/>
    <m/>
    <m/>
    <m/>
    <x v="0"/>
    <m/>
  </r>
  <r>
    <s v="18/1022/FUL"/>
    <s v="CON"/>
    <m/>
    <d v="2018-11-27T00:00:00"/>
    <d v="2021-11-27T00:00:00"/>
    <m/>
    <m/>
    <x v="2"/>
    <s v="Open Market"/>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s v="Teddington"/>
    <m/>
    <x v="5"/>
    <x v="0"/>
    <m/>
    <m/>
    <m/>
    <m/>
    <x v="1"/>
    <s v="CA37 High Street Teddington"/>
  </r>
  <r>
    <s v="18/1038/FUL"/>
    <s v="NEW"/>
    <m/>
    <d v="2019-02-04T00:00:00"/>
    <d v="2022-02-04T00:00:00"/>
    <m/>
    <m/>
    <x v="2"/>
    <s v="Open Market"/>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s v="East Sheen"/>
    <m/>
    <x v="2"/>
    <x v="0"/>
    <m/>
    <m/>
    <m/>
    <m/>
    <x v="0"/>
    <m/>
  </r>
  <r>
    <s v="18/1064/GPD15"/>
    <s v="CHU"/>
    <s v="PA"/>
    <d v="2018-05-22T00:00:00"/>
    <d v="2021-05-22T00:00:00"/>
    <m/>
    <m/>
    <x v="2"/>
    <s v="Open Market"/>
    <m/>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s v="East Sheen"/>
    <m/>
    <x v="2"/>
    <x v="0"/>
    <m/>
    <m/>
    <m/>
    <m/>
    <x v="0"/>
    <m/>
  </r>
  <r>
    <s v="18/1114/FUL"/>
    <s v="MIX"/>
    <m/>
    <d v="2019-07-25T00:00:00"/>
    <d v="2022-07-25T00:00:00"/>
    <m/>
    <m/>
    <x v="2"/>
    <s v="Open Market"/>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s v="Fulwell and Hampton Hill"/>
    <m/>
    <x v="0"/>
    <x v="0"/>
    <s v="Mixed Use Area"/>
    <s v="High Street"/>
    <m/>
    <m/>
    <x v="0"/>
    <m/>
  </r>
  <r>
    <s v="18/1248/FUL"/>
    <s v="CHU"/>
    <m/>
    <d v="2018-12-21T00:00:00"/>
    <d v="2021-12-21T00:00:00"/>
    <m/>
    <m/>
    <x v="2"/>
    <s v="Open Market"/>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s v="North Richmond"/>
    <m/>
    <x v="0"/>
    <x v="0"/>
    <m/>
    <m/>
    <m/>
    <m/>
    <x v="0"/>
    <m/>
  </r>
  <r>
    <s v="18/1442/FUL"/>
    <s v="NEW"/>
    <m/>
    <d v="2019-01-07T00:00:00"/>
    <d v="2022-01-07T00:00:00"/>
    <m/>
    <m/>
    <x v="2"/>
    <s v="Open Market"/>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s v="West Twickenham"/>
    <m/>
    <x v="0"/>
    <x v="0"/>
    <m/>
    <m/>
    <m/>
    <m/>
    <x v="0"/>
    <m/>
  </r>
  <r>
    <s v="18/1446/FUL"/>
    <s v="NEW"/>
    <m/>
    <d v="2018-08-10T00:00:00"/>
    <d v="2021-08-10T00:00:00"/>
    <m/>
    <m/>
    <x v="2"/>
    <s v="Open Market"/>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s v="South Twickenham"/>
    <m/>
    <x v="0"/>
    <x v="0"/>
    <m/>
    <m/>
    <m/>
    <m/>
    <x v="0"/>
    <m/>
  </r>
  <r>
    <s v="18/1743/FUL"/>
    <s v="NEW"/>
    <m/>
    <d v="2018-10-12T00:00:00"/>
    <d v="2021-12-20T00:00:00"/>
    <m/>
    <m/>
    <x v="2"/>
    <s v="Open Market"/>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s v="Hampton Wick"/>
    <s v="Garden Land"/>
    <x v="0"/>
    <x v="0"/>
    <m/>
    <m/>
    <m/>
    <m/>
    <x v="0"/>
    <m/>
  </r>
  <r>
    <s v="18/1911/FUL"/>
    <s v="EXT"/>
    <m/>
    <d v="2018-12-11T00:00:00"/>
    <d v="2021-12-11T00:00:00"/>
    <m/>
    <m/>
    <x v="2"/>
    <s v="Open Market"/>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s v="Twickenham Riverside"/>
    <m/>
    <x v="0"/>
    <x v="0"/>
    <m/>
    <m/>
    <m/>
    <m/>
    <x v="0"/>
    <m/>
  </r>
  <r>
    <s v="18/2038/FUL"/>
    <s v="NEW"/>
    <m/>
    <d v="2019-02-12T00:00:00"/>
    <d v="2022-02-12T00:00:00"/>
    <m/>
    <m/>
    <x v="2"/>
    <s v="Open Market"/>
    <m/>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s v="Barnes"/>
    <m/>
    <x v="0"/>
    <x v="0"/>
    <m/>
    <m/>
    <m/>
    <m/>
    <x v="0"/>
    <m/>
  </r>
  <r>
    <s v="18/2328/GPD15"/>
    <s v="CHU"/>
    <s v="PA"/>
    <d v="2018-09-14T00:00:00"/>
    <d v="2021-09-14T00:00:00"/>
    <m/>
    <m/>
    <x v="2"/>
    <s v="Open Market"/>
    <m/>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s v="Teddington"/>
    <m/>
    <x v="5"/>
    <x v="0"/>
    <m/>
    <m/>
    <m/>
    <m/>
    <x v="0"/>
    <m/>
  </r>
  <r>
    <s v="18/2716/GPD13"/>
    <s v="CHU"/>
    <s v="PA"/>
    <d v="2018-10-08T00:00:00"/>
    <d v="2021-10-08T00:00:00"/>
    <m/>
    <m/>
    <x v="2"/>
    <s v="Open Market"/>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s v="East Sheen"/>
    <m/>
    <x v="0"/>
    <x v="0"/>
    <m/>
    <m/>
    <m/>
    <m/>
    <x v="0"/>
    <m/>
  </r>
  <r>
    <s v="18/2943/FUL"/>
    <s v="EXT"/>
    <m/>
    <d v="2019-11-07T00:00:00"/>
    <d v="2022-11-07T00:00:00"/>
    <m/>
    <m/>
    <x v="2"/>
    <s v="Open Market"/>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s v="Hampton"/>
    <m/>
    <x v="0"/>
    <x v="0"/>
    <m/>
    <m/>
    <m/>
    <m/>
    <x v="0"/>
    <m/>
  </r>
  <r>
    <s v="18/3003/FUL"/>
    <s v="NEW"/>
    <m/>
    <d v="2019-05-24T00:00:00"/>
    <d v="2022-05-24T00:00:00"/>
    <m/>
    <m/>
    <x v="2"/>
    <s v="Open Market"/>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s v="St. Margarets and North Twickenham"/>
    <m/>
    <x v="0"/>
    <x v="0"/>
    <m/>
    <m/>
    <m/>
    <m/>
    <x v="0"/>
    <m/>
  </r>
  <r>
    <s v="18/3195/GPD15"/>
    <s v="CHU"/>
    <s v="PA"/>
    <d v="2018-11-12T00:00:00"/>
    <d v="2021-11-12T00:00:00"/>
    <m/>
    <m/>
    <x v="2"/>
    <s v="Open Market"/>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s v="East Sheen"/>
    <m/>
    <x v="2"/>
    <x v="0"/>
    <m/>
    <m/>
    <m/>
    <m/>
    <x v="1"/>
    <s v="CA70 Sheen Lane Mortlake"/>
  </r>
  <r>
    <s v="18/3285/FUL"/>
    <s v="NEW"/>
    <m/>
    <d v="2019-03-18T00:00:00"/>
    <d v="2022-03-18T00:00:00"/>
    <m/>
    <m/>
    <x v="2"/>
    <s v="Open Market"/>
    <m/>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s v="Barnes"/>
    <m/>
    <x v="0"/>
    <x v="0"/>
    <m/>
    <m/>
    <m/>
    <m/>
    <x v="0"/>
    <m/>
  </r>
  <r>
    <s v="18/3460/FUL"/>
    <s v="CON"/>
    <m/>
    <d v="2019-02-26T00:00:00"/>
    <d v="2022-02-26T00:00:00"/>
    <m/>
    <m/>
    <x v="2"/>
    <s v="Open Market"/>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s v="South Richmond"/>
    <m/>
    <x v="4"/>
    <x v="0"/>
    <m/>
    <m/>
    <m/>
    <m/>
    <x v="1"/>
    <s v="CA17 Central Richmond"/>
  </r>
  <r>
    <s v="18/3613/GPD15"/>
    <s v="CHU"/>
    <s v="PA"/>
    <d v="2018-12-28T00:00:00"/>
    <d v="2021-12-28T00:00:00"/>
    <m/>
    <m/>
    <x v="2"/>
    <s v="Open Market"/>
    <m/>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s v="Fulwell and Hampton Hill"/>
    <m/>
    <x v="0"/>
    <x v="0"/>
    <m/>
    <m/>
    <m/>
    <m/>
    <x v="0"/>
    <m/>
  </r>
  <r>
    <s v="18/3696/FUL"/>
    <s v="CHU"/>
    <m/>
    <d v="2019-02-08T00:00:00"/>
    <d v="2022-02-08T00:00:00"/>
    <m/>
    <m/>
    <x v="2"/>
    <s v="Open Market"/>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s v="South Twickenham"/>
    <m/>
    <x v="0"/>
    <x v="0"/>
    <s v="Mixed Use Area"/>
    <s v="Twickenham Green"/>
    <m/>
    <m/>
    <x v="1"/>
    <s v="CA9 Twickenham Green"/>
  </r>
  <r>
    <s v="18/3930/FUL"/>
    <s v="NEW"/>
    <m/>
    <d v="2019-10-17T00:00:00"/>
    <d v="2022-10-17T00:00:00"/>
    <m/>
    <m/>
    <x v="2"/>
    <s v="Open Market"/>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s v="Hampton Wick"/>
    <s v="Garden Land"/>
    <x v="0"/>
    <x v="0"/>
    <m/>
    <m/>
    <m/>
    <m/>
    <x v="0"/>
    <m/>
  </r>
  <r>
    <s v="18/3950/FUL"/>
    <s v="CHU"/>
    <m/>
    <d v="2019-07-15T00:00:00"/>
    <d v="2022-07-15T00:00:00"/>
    <m/>
    <m/>
    <x v="2"/>
    <s v="Affordable Ren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s v="North Richmond"/>
    <m/>
    <x v="0"/>
    <x v="0"/>
    <m/>
    <m/>
    <m/>
    <m/>
    <x v="1"/>
    <s v="CA36 Kew Foot Road"/>
  </r>
  <r>
    <s v="18/3950/FUL"/>
    <s v="CHU"/>
    <m/>
    <d v="2019-07-15T00:00:00"/>
    <d v="2022-07-15T00:00:00"/>
    <m/>
    <m/>
    <x v="2"/>
    <s v="Intermediate"/>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s v="North Richmond"/>
    <m/>
    <x v="0"/>
    <x v="0"/>
    <m/>
    <m/>
    <m/>
    <m/>
    <x v="1"/>
    <s v="CA36 Kew Foot Road"/>
  </r>
  <r>
    <s v="18/3950/FUL"/>
    <s v="CHU"/>
    <m/>
    <d v="2019-07-15T00:00:00"/>
    <d v="2022-07-15T00:00:00"/>
    <m/>
    <m/>
    <x v="2"/>
    <s v="Open Marke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s v="North Richmond"/>
    <m/>
    <x v="0"/>
    <x v="0"/>
    <m/>
    <m/>
    <m/>
    <m/>
    <x v="1"/>
    <s v="CA36 Kew Foot Road"/>
  </r>
  <r>
    <s v="18/3952/FUL"/>
    <s v="NEW"/>
    <m/>
    <d v="2019-03-29T00:00:00"/>
    <d v="2022-04-01T00:00:00"/>
    <m/>
    <m/>
    <x v="2"/>
    <s v="Open Market"/>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s v="Hampton"/>
    <m/>
    <x v="0"/>
    <x v="0"/>
    <m/>
    <m/>
    <m/>
    <m/>
    <x v="0"/>
    <m/>
  </r>
  <r>
    <s v="18/3954/FUL"/>
    <s v="NEW"/>
    <m/>
    <d v="2019-07-08T00:00:00"/>
    <d v="2022-06-24T00:00:00"/>
    <m/>
    <m/>
    <x v="2"/>
    <s v="Open Market"/>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s v="South Richmond"/>
    <m/>
    <x v="0"/>
    <x v="0"/>
    <m/>
    <m/>
    <m/>
    <m/>
    <x v="1"/>
    <s v="CA69 Sheen Common Drive"/>
  </r>
  <r>
    <s v="18/4125/FUL"/>
    <s v="CON"/>
    <m/>
    <d v="2019-02-06T00:00:00"/>
    <d v="2022-02-06T00:00:00"/>
    <m/>
    <m/>
    <x v="2"/>
    <s v="Open Market"/>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s v="Fulwell and Hampton Hill"/>
    <m/>
    <x v="0"/>
    <x v="0"/>
    <m/>
    <m/>
    <m/>
    <m/>
    <x v="0"/>
    <m/>
  </r>
  <r>
    <s v="18/4138/FUL"/>
    <s v="NEW"/>
    <m/>
    <d v="2019-11-11T00:00:00"/>
    <d v="2022-11-11T00:00:00"/>
    <d v="2020-04-14T00:00:00"/>
    <m/>
    <x v="2"/>
    <s v="Open Market"/>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s v="Kew"/>
    <m/>
    <x v="0"/>
    <x v="0"/>
    <m/>
    <m/>
    <m/>
    <m/>
    <x v="0"/>
    <m/>
  </r>
  <r>
    <s v="18/4183/FUL"/>
    <s v="NEW"/>
    <m/>
    <d v="2019-07-25T00:00:00"/>
    <d v="2022-07-25T00:00:00"/>
    <m/>
    <m/>
    <x v="2"/>
    <s v="Open Market"/>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s v="Mortlake and Barnes Common"/>
    <m/>
    <x v="0"/>
    <x v="0"/>
    <m/>
    <m/>
    <m/>
    <m/>
    <x v="0"/>
    <m/>
  </r>
  <r>
    <s v="18/4259/FUL"/>
    <s v="CON"/>
    <m/>
    <d v="2019-09-23T00:00:00"/>
    <d v="2022-09-23T00:00:00"/>
    <m/>
    <m/>
    <x v="2"/>
    <s v="Open Market"/>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s v="Barnes"/>
    <m/>
    <x v="0"/>
    <x v="0"/>
    <m/>
    <m/>
    <m/>
    <m/>
    <x v="0"/>
    <m/>
  </r>
  <r>
    <s v="19/0171/GPD15"/>
    <s v="CHU"/>
    <s v="PA"/>
    <d v="2019-03-19T00:00:00"/>
    <d v="2022-03-19T00:00:00"/>
    <m/>
    <m/>
    <x v="2"/>
    <s v="Open Market"/>
    <m/>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s v="Barnes"/>
    <m/>
    <x v="0"/>
    <x v="0"/>
    <m/>
    <m/>
    <m/>
    <m/>
    <x v="1"/>
    <s v="CA25 Castelnau"/>
  </r>
  <r>
    <s v="19/0175/FUL"/>
    <s v="NEW"/>
    <m/>
    <d v="2019-05-09T00:00:00"/>
    <d v="2022-05-09T00:00:00"/>
    <m/>
    <m/>
    <x v="2"/>
    <s v="Open Market"/>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s v="Twickenham Riverside"/>
    <m/>
    <x v="0"/>
    <x v="1"/>
    <m/>
    <m/>
    <m/>
    <m/>
    <x v="1"/>
    <s v="CA8 Twickenham Riverside"/>
  </r>
  <r>
    <s v="19/0228/FUL"/>
    <s v="CON"/>
    <m/>
    <d v="2019-06-28T00:00:00"/>
    <d v="2022-06-28T00:00:00"/>
    <m/>
    <m/>
    <x v="2"/>
    <s v="Open Market"/>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s v="North Richmond"/>
    <m/>
    <x v="0"/>
    <x v="0"/>
    <m/>
    <m/>
    <m/>
    <m/>
    <x v="1"/>
    <s v="CA36 Kew Foot Road"/>
  </r>
  <r>
    <s v="19/0338/FUL"/>
    <s v="NEW"/>
    <m/>
    <d v="2019-05-24T00:00:00"/>
    <d v="2022-05-24T00:00:00"/>
    <m/>
    <m/>
    <x v="2"/>
    <s v="Open Market"/>
    <m/>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s v="West Twickenham"/>
    <m/>
    <x v="0"/>
    <x v="0"/>
    <m/>
    <m/>
    <m/>
    <m/>
    <x v="0"/>
    <m/>
  </r>
  <r>
    <s v="19/0382/FUL"/>
    <s v="NEW"/>
    <m/>
    <d v="2019-12-05T00:00:00"/>
    <d v="2022-12-05T00:00:00"/>
    <m/>
    <m/>
    <x v="2"/>
    <s v="Open Market"/>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s v="South Twickenham"/>
    <s v="Garden Land"/>
    <x v="0"/>
    <x v="0"/>
    <m/>
    <m/>
    <m/>
    <m/>
    <x v="0"/>
    <m/>
  </r>
  <r>
    <s v="19/0391/FUL"/>
    <s v="NEW"/>
    <m/>
    <d v="2020-02-20T00:00:00"/>
    <d v="2023-02-20T00:00:00"/>
    <m/>
    <m/>
    <x v="2"/>
    <s v="Open Market"/>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s v="Mortlake and Barnes Common"/>
    <m/>
    <x v="0"/>
    <x v="0"/>
    <s v="Mixed Use Area"/>
    <s v="Priests Bridge"/>
    <m/>
    <m/>
    <x v="0"/>
    <m/>
  </r>
  <r>
    <s v="19/0414/FUL"/>
    <s v="NEW"/>
    <m/>
    <d v="2020-01-22T00:00:00"/>
    <d v="2023-01-23T00:00:00"/>
    <m/>
    <m/>
    <x v="2"/>
    <s v="Open Market"/>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s v="Heathfield"/>
    <s v="Garden Land"/>
    <x v="0"/>
    <x v="0"/>
    <m/>
    <m/>
    <m/>
    <m/>
    <x v="0"/>
    <m/>
  </r>
  <r>
    <s v="19/0823/GPD13"/>
    <s v="CHU"/>
    <s v="PA"/>
    <d v="2019-05-07T00:00:00"/>
    <d v="2022-05-07T00:00:00"/>
    <m/>
    <m/>
    <x v="2"/>
    <s v="Open Market"/>
    <m/>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s v="Kew"/>
    <m/>
    <x v="0"/>
    <x v="0"/>
    <m/>
    <m/>
    <m/>
    <m/>
    <x v="0"/>
    <m/>
  </r>
  <r>
    <s v="19/0847/FUL"/>
    <s v="NEW"/>
    <m/>
    <d v="2019-12-23T00:00:00"/>
    <d v="2022-12-24T00:00:00"/>
    <m/>
    <m/>
    <x v="2"/>
    <s v="Open Market"/>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s v="Teddington"/>
    <m/>
    <x v="0"/>
    <x v="0"/>
    <m/>
    <m/>
    <m/>
    <m/>
    <x v="0"/>
    <m/>
  </r>
  <r>
    <s v="19/0911/FUL"/>
    <s v="EXT"/>
    <m/>
    <d v="2020-01-17T00:00:00"/>
    <d v="2023-02-05T00:00:00"/>
    <m/>
    <m/>
    <x v="2"/>
    <s v="Open Market"/>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s v="Hampton Wick"/>
    <m/>
    <x v="0"/>
    <x v="0"/>
    <m/>
    <m/>
    <m/>
    <m/>
    <x v="0"/>
    <m/>
  </r>
  <r>
    <s v="19/1029/FUL"/>
    <s v="EXT"/>
    <m/>
    <d v="2019-09-17T00:00:00"/>
    <d v="2022-09-17T00:00:00"/>
    <m/>
    <m/>
    <x v="2"/>
    <s v="Open Market"/>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s v="Fulwell and Hampton Hill"/>
    <s v="Garden Land"/>
    <x v="0"/>
    <x v="0"/>
    <m/>
    <m/>
    <m/>
    <m/>
    <x v="0"/>
    <m/>
  </r>
  <r>
    <s v="19/1033/GPD23"/>
    <s v="CHU"/>
    <s v="PA"/>
    <d v="2019-06-05T00:00:00"/>
    <d v="2022-06-05T00:00:00"/>
    <m/>
    <m/>
    <x v="2"/>
    <s v="Open Market"/>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s v="East Sheen"/>
    <m/>
    <x v="2"/>
    <x v="0"/>
    <m/>
    <m/>
    <m/>
    <m/>
    <x v="1"/>
    <s v="CA70 Sheen Lane Mortlake"/>
  </r>
  <r>
    <s v="19/1098/FUL"/>
    <s v="NEW"/>
    <m/>
    <d v="2019-08-23T00:00:00"/>
    <d v="2022-08-27T00:00:00"/>
    <m/>
    <m/>
    <x v="2"/>
    <s v="Open Market"/>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s v="East Sheen"/>
    <m/>
    <x v="0"/>
    <x v="0"/>
    <m/>
    <m/>
    <m/>
    <m/>
    <x v="1"/>
    <s v="CA64 Sheen Lane East Sheen"/>
  </r>
  <r>
    <s v="19/1162/FUL"/>
    <s v="MIX"/>
    <m/>
    <d v="2020-03-20T00:00:00"/>
    <d v="2023-03-20T00:00:00"/>
    <m/>
    <m/>
    <x v="2"/>
    <s v="Open Market"/>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s v="South Richmond"/>
    <m/>
    <x v="4"/>
    <x v="0"/>
    <m/>
    <m/>
    <m/>
    <m/>
    <x v="1"/>
    <s v="CA5 Richmond Hill"/>
  </r>
  <r>
    <s v="19/1219/FUL"/>
    <s v="NEW"/>
    <m/>
    <d v="2019-12-11T00:00:00"/>
    <d v="2022-12-11T00:00:00"/>
    <m/>
    <m/>
    <x v="2"/>
    <s v="Open Market"/>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s v="East Sheen"/>
    <m/>
    <x v="0"/>
    <x v="0"/>
    <m/>
    <m/>
    <m/>
    <m/>
    <x v="0"/>
    <m/>
  </r>
  <r>
    <s v="19/1361/FUL"/>
    <s v="EXT"/>
    <m/>
    <d v="2019-07-16T00:00:00"/>
    <d v="2022-07-16T00:00:00"/>
    <d v="2020-06-17T00:00:00"/>
    <d v="2020-09-30T00:00:00"/>
    <x v="2"/>
    <s v="Open Market"/>
    <m/>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s v="West Twickenham"/>
    <m/>
    <x v="0"/>
    <x v="0"/>
    <m/>
    <m/>
    <m/>
    <m/>
    <x v="0"/>
    <m/>
  </r>
  <r>
    <s v="19/1602/GPD15"/>
    <s v="CHU"/>
    <s v="PA"/>
    <d v="2019-07-15T00:00:00"/>
    <d v="2022-07-15T00:00:00"/>
    <m/>
    <m/>
    <x v="2"/>
    <s v="Open Market"/>
    <m/>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s v="Fulwell and Hampton Hill"/>
    <m/>
    <x v="0"/>
    <x v="0"/>
    <m/>
    <m/>
    <m/>
    <m/>
    <x v="0"/>
    <m/>
  </r>
  <r>
    <s v="19/1649/GPD15"/>
    <s v="CHU"/>
    <s v="PA"/>
    <d v="2019-07-16T00:00:00"/>
    <d v="2022-07-16T00:00:00"/>
    <m/>
    <m/>
    <x v="2"/>
    <s v="Open Market"/>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s v="Twickenham Riverside"/>
    <m/>
    <x v="1"/>
    <x v="0"/>
    <m/>
    <m/>
    <m/>
    <m/>
    <x v="1"/>
    <s v="CA8 Twickenham Riverside"/>
  </r>
  <r>
    <s v="19/1703/FUL"/>
    <s v="CHU"/>
    <m/>
    <d v="2019-08-12T00:00:00"/>
    <d v="2022-12-27T00:00:00"/>
    <m/>
    <m/>
    <x v="2"/>
    <s v="Open Market"/>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s v="West Twickenham"/>
    <m/>
    <x v="0"/>
    <x v="0"/>
    <m/>
    <m/>
    <m/>
    <m/>
    <x v="0"/>
    <m/>
  </r>
  <r>
    <s v="19/1731/FUL"/>
    <s v="NEW"/>
    <m/>
    <d v="2019-08-21T00:00:00"/>
    <d v="2022-08-21T00:00:00"/>
    <m/>
    <m/>
    <x v="2"/>
    <s v="Open Market"/>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s v="South Twickenham"/>
    <m/>
    <x v="0"/>
    <x v="0"/>
    <m/>
    <m/>
    <m/>
    <m/>
    <x v="0"/>
    <m/>
  </r>
  <r>
    <s v="19/1759/FUL"/>
    <s v="CON"/>
    <m/>
    <d v="2019-09-09T00:00:00"/>
    <d v="2022-09-16T00:00:00"/>
    <m/>
    <m/>
    <x v="2"/>
    <s v="Open Market"/>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s v="Fulwell and Hampton Hill"/>
    <m/>
    <x v="0"/>
    <x v="0"/>
    <m/>
    <m/>
    <m/>
    <m/>
    <x v="0"/>
    <m/>
  </r>
  <r>
    <s v="19/1763/FUL"/>
    <s v="NEW"/>
    <m/>
    <d v="2019-09-23T00:00:00"/>
    <d v="2022-09-23T00:00:00"/>
    <m/>
    <m/>
    <x v="2"/>
    <s v="Open Market"/>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s v="St. Margarets and North Twickenham"/>
    <m/>
    <x v="0"/>
    <x v="0"/>
    <m/>
    <m/>
    <m/>
    <m/>
    <x v="0"/>
    <m/>
  </r>
  <r>
    <s v="19/1895/FUL"/>
    <s v="EXT"/>
    <m/>
    <d v="2019-10-23T00:00:00"/>
    <d v="2022-10-23T00:00:00"/>
    <m/>
    <m/>
    <x v="2"/>
    <s v="Open Market"/>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s v="Ham, Petersham and Richmond Riverside"/>
    <m/>
    <x v="0"/>
    <x v="0"/>
    <m/>
    <m/>
    <m/>
    <m/>
    <x v="0"/>
    <m/>
  </r>
  <r>
    <s v="19/1997/GPD23"/>
    <s v="CHU"/>
    <s v="PA"/>
    <d v="2019-08-29T00:00:00"/>
    <d v="2022-08-29T00:00:00"/>
    <m/>
    <m/>
    <x v="2"/>
    <s v="Open Market"/>
    <m/>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s v="Fulwell and Hampton Hill"/>
    <m/>
    <x v="0"/>
    <x v="0"/>
    <s v="Mixed Use Area"/>
    <s v="High Street"/>
    <m/>
    <m/>
    <x v="0"/>
    <m/>
  </r>
  <r>
    <s v="19/2102/FUL"/>
    <s v="EXT"/>
    <m/>
    <d v="2019-08-21T00:00:00"/>
    <d v="2022-08-27T00:00:00"/>
    <m/>
    <m/>
    <x v="2"/>
    <s v="Open Market"/>
    <m/>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s v="Hampton Wick"/>
    <m/>
    <x v="0"/>
    <x v="0"/>
    <m/>
    <m/>
    <m/>
    <m/>
    <x v="0"/>
    <m/>
  </r>
  <r>
    <s v="19/2273/FUL"/>
    <s v="CHU"/>
    <m/>
    <d v="2019-12-23T00:00:00"/>
    <d v="2022-12-23T00:00:00"/>
    <m/>
    <m/>
    <x v="2"/>
    <s v="Open Market"/>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s v="Hampton North"/>
    <m/>
    <x v="0"/>
    <x v="0"/>
    <m/>
    <m/>
    <s v="Y"/>
    <m/>
    <x v="0"/>
    <m/>
  </r>
  <r>
    <s v="19/2300/FUL"/>
    <s v="NEW"/>
    <m/>
    <d v="2019-09-23T00:00:00"/>
    <d v="2022-09-23T00:00:00"/>
    <m/>
    <m/>
    <x v="2"/>
    <s v="Open Market"/>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s v="North Richmond"/>
    <m/>
    <x v="0"/>
    <x v="0"/>
    <s v="Mixed Use Area"/>
    <s v="Kew Road"/>
    <m/>
    <m/>
    <x v="1"/>
    <s v="CA36 Kew Foot Road"/>
  </r>
  <r>
    <s v="19/2788/FUL"/>
    <s v="EXT"/>
    <m/>
    <d v="2020-01-31T00:00:00"/>
    <d v="2023-02-03T00:00:00"/>
    <m/>
    <m/>
    <x v="2"/>
    <s v="Open Market"/>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s v="Kew"/>
    <m/>
    <x v="0"/>
    <x v="0"/>
    <s v="Mixed Use Area"/>
    <s v="Sandycombe Road North"/>
    <m/>
    <m/>
    <x v="0"/>
    <m/>
  </r>
  <r>
    <s v="19/2796/GPD15"/>
    <s v="CHU"/>
    <s v="PA"/>
    <d v="2019-11-05T00:00:00"/>
    <d v="2022-07-05T00:00:00"/>
    <m/>
    <m/>
    <x v="2"/>
    <s v="Open Market"/>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s v="Mortlake and Barnes Common"/>
    <m/>
    <x v="0"/>
    <x v="0"/>
    <m/>
    <m/>
    <m/>
    <m/>
    <x v="1"/>
    <s v="CA53 White Hart Lane Mortlake"/>
  </r>
  <r>
    <s v="19/3025/FUL"/>
    <s v="CHU"/>
    <m/>
    <d v="2020-01-29T00:00:00"/>
    <d v="2023-01-29T00:00:00"/>
    <m/>
    <m/>
    <x v="2"/>
    <s v="Open Market"/>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s v="Twickenham Riverside"/>
    <m/>
    <x v="1"/>
    <x v="0"/>
    <m/>
    <m/>
    <m/>
    <m/>
    <x v="0"/>
    <m/>
  </r>
  <r>
    <s v="19/3101/GPD23"/>
    <s v="CHU"/>
    <s v="PA"/>
    <d v="2019-11-18T00:00:00"/>
    <d v="2022-11-18T00:00:00"/>
    <m/>
    <m/>
    <x v="2"/>
    <s v="Open Market"/>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s v="Fulwell and Hampton Hill"/>
    <m/>
    <x v="0"/>
    <x v="0"/>
    <s v="Mixed Use Area"/>
    <s v="Stanley Road"/>
    <m/>
    <m/>
    <x v="0"/>
    <m/>
  </r>
  <r>
    <s v="19/3419/FUL"/>
    <s v="NEW"/>
    <m/>
    <d v="2020-03-11T00:00:00"/>
    <d v="2023-03-11T00:00:00"/>
    <m/>
    <m/>
    <x v="2"/>
    <s v="Open Market"/>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s v="Ham, Petersham and Richmond Riverside"/>
    <m/>
    <x v="0"/>
    <x v="0"/>
    <m/>
    <m/>
    <m/>
    <m/>
    <x v="0"/>
    <m/>
  </r>
  <r>
    <s v="20/0136/FUL"/>
    <s v="NEW"/>
    <m/>
    <d v="2020-03-26T00:00:00"/>
    <d v="2021-12-21T00:00:00"/>
    <m/>
    <m/>
    <x v="2"/>
    <s v="Open Market"/>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s v="Barnes"/>
    <m/>
    <x v="0"/>
    <x v="0"/>
    <m/>
    <m/>
    <m/>
    <m/>
    <x v="0"/>
    <m/>
  </r>
  <r>
    <s v="20/0373/PS192"/>
    <s v="CHU"/>
    <s v="PA"/>
    <d v="2020-02-17T00:00:00"/>
    <d v="2020-02-18T00:00:00"/>
    <m/>
    <m/>
    <x v="2"/>
    <s v="Open Market"/>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s v="East Sheen"/>
    <m/>
    <x v="2"/>
    <x v="0"/>
    <m/>
    <m/>
    <m/>
    <m/>
    <x v="0"/>
    <m/>
  </r>
  <r>
    <s v="Site Allocation"/>
    <s v="NEW"/>
    <m/>
    <m/>
    <m/>
    <m/>
    <m/>
    <x v="3"/>
    <s v="Open Market / Affordable"/>
    <m/>
    <m/>
    <s v="Sainsbury’s, Manor Road/Lower Richmond Road"/>
    <m/>
    <m/>
    <m/>
    <m/>
    <m/>
    <m/>
    <m/>
    <m/>
    <m/>
    <m/>
    <m/>
    <m/>
    <m/>
    <m/>
    <m/>
    <m/>
    <m/>
    <m/>
    <m/>
    <m/>
    <m/>
    <m/>
    <m/>
    <m/>
    <m/>
    <m/>
    <m/>
    <m/>
    <n v="0"/>
    <m/>
    <n v="0"/>
    <n v="0"/>
    <n v="0"/>
    <n v="0"/>
    <n v="0"/>
    <n v="0"/>
    <n v="50"/>
    <n v="50"/>
    <n v="50"/>
    <n v="50"/>
    <n v="50"/>
    <n v="250"/>
    <n v="519119"/>
    <n v="175570"/>
    <s v="Ham, Petersham and Richmond Riverside"/>
    <m/>
    <x v="0"/>
    <x v="0"/>
    <m/>
    <m/>
    <m/>
    <m/>
    <x v="0"/>
    <m/>
  </r>
  <r>
    <s v="Site Allocation"/>
    <s v="NEW"/>
    <m/>
    <m/>
    <m/>
    <m/>
    <m/>
    <x v="3"/>
    <s v="Open Market / Affordable"/>
    <m/>
    <m/>
    <s v="Ham Central"/>
    <m/>
    <m/>
    <m/>
    <m/>
    <m/>
    <m/>
    <m/>
    <m/>
    <m/>
    <m/>
    <m/>
    <m/>
    <m/>
    <m/>
    <m/>
    <m/>
    <m/>
    <m/>
    <m/>
    <m/>
    <m/>
    <m/>
    <m/>
    <m/>
    <m/>
    <m/>
    <m/>
    <m/>
    <n v="0"/>
    <m/>
    <n v="0"/>
    <n v="0"/>
    <n v="0"/>
    <n v="0"/>
    <n v="0"/>
    <n v="0"/>
    <n v="50"/>
    <n v="50"/>
    <n v="50"/>
    <n v="50"/>
    <n v="50"/>
    <n v="250"/>
    <n v="517177"/>
    <n v="172352"/>
    <s v="Ham, Petersham and Richmond Riverside"/>
    <m/>
    <x v="0"/>
    <x v="0"/>
    <m/>
    <m/>
    <m/>
    <m/>
    <x v="0"/>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9">
  <r>
    <s v="10/0312/FUL"/>
    <s v="NEW"/>
    <m/>
    <d v="2010-06-15T00:00:00"/>
    <d v="2013-06-15T00:00:00"/>
    <d v="2013-06-15T00:00:00"/>
    <d v="2019-10-03T00:00:00"/>
    <x v="0"/>
    <s v="Open Market"/>
    <m/>
    <s v="Construction of three bedroom house and associated landscaping"/>
    <s v="72 Stanley Road_x000d_Teddington_x000d__x000d_"/>
    <m/>
    <m/>
    <m/>
    <m/>
    <m/>
    <m/>
    <m/>
    <m/>
    <m/>
    <n v="0"/>
    <m/>
    <m/>
    <m/>
    <n v="1"/>
    <m/>
    <m/>
    <m/>
    <m/>
    <m/>
    <n v="1"/>
    <n v="0"/>
    <n v="0"/>
    <n v="1"/>
    <n v="0"/>
    <n v="0"/>
    <n v="0"/>
    <n v="0"/>
    <n v="0"/>
    <n v="1"/>
    <m/>
    <n v="1"/>
    <n v="0"/>
    <n v="0"/>
    <n v="0"/>
    <n v="0"/>
    <n v="0"/>
    <m/>
    <m/>
    <m/>
    <m/>
    <m/>
    <n v="0"/>
    <n v="515372"/>
    <n v="171266"/>
    <s v="Teddington"/>
    <x v="0"/>
    <m/>
    <x v="0"/>
    <x v="0"/>
    <m/>
    <m/>
    <m/>
    <m/>
    <m/>
  </r>
  <r>
    <s v="11/1443/FUL"/>
    <s v="NEW"/>
    <m/>
    <d v="2012-03-30T00:00:00"/>
    <d v="2015-03-30T00:00:00"/>
    <d v="2015-03-14T00:00:00"/>
    <d v="2020-01-31T00:00:00"/>
    <x v="0"/>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s v="St. Margarets and North Twickenham"/>
    <x v="0"/>
    <s v="Twickenham"/>
    <x v="0"/>
    <x v="0"/>
    <m/>
    <m/>
    <m/>
    <m/>
    <m/>
  </r>
  <r>
    <s v="11/2882/FUL"/>
    <s v="CHU"/>
    <m/>
    <d v="2012-09-10T00:00:00"/>
    <d v="2015-09-10T00:00:00"/>
    <d v="2015-09-09T00:00:00"/>
    <d v="2020-03-18T00:00:00"/>
    <x v="0"/>
    <s v="Open Market"/>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s v="West Twickenham"/>
    <x v="0"/>
    <m/>
    <x v="0"/>
    <x v="0"/>
    <m/>
    <m/>
    <m/>
    <m/>
    <m/>
  </r>
  <r>
    <s v="13/2163/FUL"/>
    <s v="CON"/>
    <m/>
    <d v="2013-10-25T00:00:00"/>
    <d v="2016-10-28T00:00:00"/>
    <d v="2016-09-01T00:00:00"/>
    <d v="2019-08-14T00:00:00"/>
    <x v="0"/>
    <s v="Open Market"/>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s v="Hampton Wick"/>
    <x v="0"/>
    <m/>
    <x v="0"/>
    <x v="0"/>
    <m/>
    <m/>
    <m/>
    <m/>
    <m/>
  </r>
  <r>
    <s v="14/3983/FUL"/>
    <s v="NEW"/>
    <m/>
    <d v="2015-05-15T00:00:00"/>
    <d v="2019-03-18T00:00:00"/>
    <d v="2017-04-14T00:00:00"/>
    <d v="2020-03-31T00:00:00"/>
    <x v="0"/>
    <s v="Open Market"/>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s v="South Richmond"/>
    <x v="0"/>
    <m/>
    <x v="0"/>
    <x v="0"/>
    <m/>
    <m/>
    <m/>
    <s v="Conservation Area"/>
    <s v="CA30 St Matthias Richmond"/>
  </r>
  <r>
    <s v="14/4464/P3JPA"/>
    <s v="CHU"/>
    <s v="PA"/>
    <d v="2015-01-05T00:00:00"/>
    <d v="2020-07-21T00:00:00"/>
    <d v="2018-02-01T00:00:00"/>
    <d v="2019-10-11T00:00:00"/>
    <x v="0"/>
    <s v="Open Market"/>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s v="South Twickenham"/>
    <x v="0"/>
    <s v="Twickenham"/>
    <x v="0"/>
    <x v="0"/>
    <m/>
    <m/>
    <m/>
    <m/>
    <m/>
  </r>
  <r>
    <s v="14/4721/FUL"/>
    <s v="NEW"/>
    <m/>
    <d v="2015-07-30T00:00:00"/>
    <d v="2018-07-30T00:00:00"/>
    <d v="2018-06-25T00:00:00"/>
    <d v="2020-02-19T00:00:00"/>
    <x v="0"/>
    <s v="Open Market"/>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s v="Mortlake and Barnes Common"/>
    <x v="0"/>
    <m/>
    <x v="0"/>
    <x v="1"/>
    <s v="White Hart lane"/>
    <m/>
    <m/>
    <m/>
    <m/>
  </r>
  <r>
    <s v="14/4793/FUL"/>
    <s v="MIX"/>
    <m/>
    <d v="2016-11-11T00:00:00"/>
    <d v="2019-11-11T00:00:00"/>
    <d v="2018-01-14T00:00:00"/>
    <d v="2019-11-20T00:00:00"/>
    <x v="0"/>
    <s v="Open Market"/>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s v="East Sheen"/>
    <x v="0"/>
    <s v="East Sheen"/>
    <x v="0"/>
    <x v="0"/>
    <m/>
    <m/>
    <m/>
    <s v="Conservation Area"/>
    <s v="CA70 Sheen Lane Mortlake"/>
  </r>
  <r>
    <s v="14/5364/P3JPA"/>
    <s v="CHU"/>
    <s v="PA"/>
    <d v="2015-03-03T00:00:00"/>
    <d v="2020-03-03T00:00:00"/>
    <d v="2016-03-01T00:00:00"/>
    <d v="2019-05-31T00:00:00"/>
    <x v="0"/>
    <s v="Open Market"/>
    <m/>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s v="Hampton"/>
    <x v="0"/>
    <m/>
    <x v="0"/>
    <x v="0"/>
    <m/>
    <m/>
    <m/>
    <m/>
    <m/>
  </r>
  <r>
    <s v="15/0160/FUL"/>
    <s v="NEW"/>
    <m/>
    <d v="2016-02-05T00:00:00"/>
    <d v="2019-02-05T00:00:00"/>
    <d v="2017-10-02T00:00:00"/>
    <d v="2019-05-20T00:00:00"/>
    <x v="0"/>
    <s v="Open Market"/>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s v="Teddington"/>
    <x v="0"/>
    <m/>
    <x v="0"/>
    <x v="0"/>
    <m/>
    <m/>
    <m/>
    <m/>
    <m/>
  </r>
  <r>
    <s v="15/0421/FUL"/>
    <s v="CON"/>
    <m/>
    <d v="2016-08-04T00:00:00"/>
    <d v="2019-08-04T00:00:00"/>
    <d v="2018-03-01T00:00:00"/>
    <d v="2019-09-06T00:00:00"/>
    <x v="0"/>
    <s v="Open Market"/>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s v="South Richmond"/>
    <x v="0"/>
    <m/>
    <x v="0"/>
    <x v="0"/>
    <m/>
    <m/>
    <m/>
    <s v="Conservation Area"/>
    <s v="CA30 St Matthias Richmond"/>
  </r>
  <r>
    <s v="15/1440/FUL"/>
    <s v="NEW"/>
    <m/>
    <d v="2018-09-28T00:00:00"/>
    <d v="2021-10-01T00:00:00"/>
    <d v="2019-02-01T00:00:00"/>
    <d v="2020-03-09T00:00:00"/>
    <x v="0"/>
    <s v="Open Market"/>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s v="West Twickenham"/>
    <x v="0"/>
    <m/>
    <x v="0"/>
    <x v="1"/>
    <s v="Hampton Road"/>
    <m/>
    <m/>
    <m/>
    <m/>
  </r>
  <r>
    <s v="15/1638/FUL"/>
    <s v="NEW"/>
    <m/>
    <d v="2016-08-23T00:00:00"/>
    <d v="2020-06-22T00:00:00"/>
    <d v="2018-02-01T00:00:00"/>
    <d v="2019-10-21T00:00:00"/>
    <x v="0"/>
    <s v="Open Market"/>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s v="St. Margarets and North Twickenham"/>
    <x v="0"/>
    <m/>
    <x v="0"/>
    <x v="0"/>
    <m/>
    <m/>
    <m/>
    <m/>
    <m/>
  </r>
  <r>
    <s v="15/2440/VRC"/>
    <s v="NEW"/>
    <m/>
    <d v="2015-08-04T00:00:00"/>
    <d v="2018-08-04T00:00:00"/>
    <d v="2018-04-01T00:00:00"/>
    <d v="2019-10-18T00:00:00"/>
    <x v="0"/>
    <s v="Open Market"/>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s v="Kew"/>
    <x v="0"/>
    <m/>
    <x v="0"/>
    <x v="0"/>
    <m/>
    <m/>
    <m/>
    <m/>
    <m/>
  </r>
  <r>
    <s v="15/2452/FUL"/>
    <s v="NEW"/>
    <m/>
    <d v="2015-07-27T00:00:00"/>
    <d v="2018-07-27T00:00:00"/>
    <d v="2016-05-12T00:00:00"/>
    <d v="2019-08-28T00:00:00"/>
    <x v="0"/>
    <s v="Open Market"/>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s v="Twickenham Riverside"/>
    <x v="0"/>
    <m/>
    <x v="0"/>
    <x v="0"/>
    <m/>
    <m/>
    <m/>
    <m/>
    <m/>
  </r>
  <r>
    <s v="15/3183/FUL"/>
    <s v="CON"/>
    <m/>
    <d v="2015-12-29T00:00:00"/>
    <d v="2018-12-30T00:00:00"/>
    <d v="2018-12-03T00:00:00"/>
    <d v="2019-07-01T00:00:00"/>
    <x v="0"/>
    <s v="Open Market"/>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s v="Fulwell and Hampton Hill"/>
    <x v="0"/>
    <m/>
    <x v="0"/>
    <x v="0"/>
    <m/>
    <m/>
    <m/>
    <s v="Conservation Area"/>
    <s v="CA61 Bushy Park"/>
  </r>
  <r>
    <s v="15/4230/FUL"/>
    <s v="EXT"/>
    <m/>
    <d v="2016-06-02T00:00:00"/>
    <d v="2019-06-02T00:00:00"/>
    <d v="2017-06-05T00:00:00"/>
    <d v="2019-08-29T00:00:00"/>
    <x v="0"/>
    <s v="Open Market"/>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s v="Twickenham Riverside"/>
    <x v="0"/>
    <m/>
    <x v="0"/>
    <x v="0"/>
    <m/>
    <m/>
    <m/>
    <m/>
    <m/>
  </r>
  <r>
    <s v="15/4281/GPD15"/>
    <s v="CHU"/>
    <s v="PA"/>
    <d v="2015-12-08T00:00:00"/>
    <d v="2020-12-09T00:00:00"/>
    <m/>
    <d v="2019-04-01T00:00:00"/>
    <x v="0"/>
    <s v="Open Market"/>
    <m/>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s v="Hampton Wick"/>
    <x v="0"/>
    <m/>
    <x v="0"/>
    <x v="0"/>
    <m/>
    <m/>
    <m/>
    <m/>
    <m/>
  </r>
  <r>
    <s v="15/4835/FUL"/>
    <s v="NEW"/>
    <m/>
    <d v="2016-09-06T00:00:00"/>
    <d v="2019-09-07T00:00:00"/>
    <m/>
    <d v="2019-07-31T00:00:00"/>
    <x v="0"/>
    <s v="Open Market"/>
    <m/>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s v="Fulwell and Hampton Hill"/>
    <x v="0"/>
    <m/>
    <x v="0"/>
    <x v="0"/>
    <m/>
    <m/>
    <m/>
    <m/>
    <m/>
  </r>
  <r>
    <s v="15/5216/FUL"/>
    <s v="NEW"/>
    <m/>
    <d v="2016-09-08T00:00:00"/>
    <d v="2019-10-21T00:00:00"/>
    <d v="2017-11-01T00:00:00"/>
    <d v="2019-06-30T00:00:00"/>
    <x v="0"/>
    <s v="Affordable Rent"/>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s v="Hampton Wick"/>
    <x v="0"/>
    <m/>
    <x v="0"/>
    <x v="0"/>
    <m/>
    <m/>
    <m/>
    <s v="Conservation Area"/>
    <s v="CA59 Normansfield Teddington"/>
  </r>
  <r>
    <s v="15/5369/FUL"/>
    <s v="NEW"/>
    <m/>
    <d v="2016-06-15T00:00:00"/>
    <d v="2019-06-17T00:00:00"/>
    <m/>
    <d v="2019-07-30T00:00:00"/>
    <x v="0"/>
    <s v="Open Market"/>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s v="Hampton"/>
    <x v="0"/>
    <m/>
    <x v="0"/>
    <x v="0"/>
    <m/>
    <m/>
    <m/>
    <m/>
    <m/>
  </r>
  <r>
    <s v="16/0234/FUL"/>
    <s v="NEW"/>
    <m/>
    <d v="2016-10-14T00:00:00"/>
    <d v="2019-10-14T00:00:00"/>
    <d v="2017-12-01T00:00:00"/>
    <d v="2019-07-19T00:00:00"/>
    <x v="0"/>
    <s v="Open Market"/>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s v="South Twickenham"/>
    <x v="1"/>
    <m/>
    <x v="0"/>
    <x v="0"/>
    <m/>
    <m/>
    <m/>
    <m/>
    <m/>
  </r>
  <r>
    <s v="16/1293/FUL"/>
    <s v="EXT"/>
    <m/>
    <d v="2017-11-20T00:00:00"/>
    <d v="2020-11-21T00:00:00"/>
    <d v="2018-02-01T00:00:00"/>
    <d v="2019-10-11T00:00:00"/>
    <x v="0"/>
    <s v="Open Market"/>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s v="South Twickenham"/>
    <x v="0"/>
    <s v="Twickenham"/>
    <x v="0"/>
    <x v="0"/>
    <m/>
    <m/>
    <m/>
    <m/>
    <m/>
  </r>
  <r>
    <s v="16/1344/FUL"/>
    <s v="CHU"/>
    <m/>
    <d v="2017-05-18T00:00:00"/>
    <d v="2020-05-18T00:00:00"/>
    <d v="2018-01-08T00:00:00"/>
    <d v="2019-09-03T00:00:00"/>
    <x v="0"/>
    <s v="Open Market"/>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s v="St. Margarets and North Twickenham"/>
    <x v="0"/>
    <m/>
    <x v="0"/>
    <x v="1"/>
    <s v="St Margarets"/>
    <m/>
    <m/>
    <s v="Conservation Area"/>
    <s v="CA49 Crown Road St Margarets"/>
  </r>
  <r>
    <s v="16/1729/FUL"/>
    <s v="MIX"/>
    <m/>
    <d v="2017-01-16T00:00:00"/>
    <d v="2020-05-03T00:00:00"/>
    <d v="2018-02-01T00:00:00"/>
    <d v="2019-08-01T00:00:00"/>
    <x v="0"/>
    <s v="Open Market"/>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s v="Hampton"/>
    <x v="0"/>
    <m/>
    <x v="0"/>
    <x v="1"/>
    <s v="Station Road"/>
    <m/>
    <m/>
    <s v="Conservation Area"/>
    <s v="CA12 Hampton Village"/>
  </r>
  <r>
    <s v="16/1935/GPD15"/>
    <s v="CHU"/>
    <s v="PA"/>
    <d v="2016-07-04T00:00:00"/>
    <d v="2019-07-19T00:00:00"/>
    <d v="2018-10-01T00:00:00"/>
    <d v="2019-09-30T00:00:00"/>
    <x v="0"/>
    <s v="Open Market"/>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s v="Fulwell and Hampton Hill"/>
    <x v="0"/>
    <m/>
    <x v="0"/>
    <x v="1"/>
    <s v="High Street"/>
    <m/>
    <m/>
    <s v="Conservation Area"/>
    <s v="CA38 High Street Hampton Hill"/>
  </r>
  <r>
    <s v="16/2042/FUL"/>
    <s v="CON"/>
    <m/>
    <d v="2018-10-19T00:00:00"/>
    <d v="2021-10-19T00:00:00"/>
    <d v="2019-03-01T00:00:00"/>
    <d v="2020-03-02T00:00:00"/>
    <x v="0"/>
    <s v="Open Market"/>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s v="St. Margarets and North Twickenham"/>
    <x v="0"/>
    <m/>
    <x v="0"/>
    <x v="0"/>
    <m/>
    <m/>
    <m/>
    <m/>
    <m/>
  </r>
  <r>
    <s v="16/2158/FUL"/>
    <s v="CON"/>
    <m/>
    <d v="2016-08-05T00:00:00"/>
    <d v="2019-08-05T00:00:00"/>
    <d v="2016-09-29T00:00:00"/>
    <d v="2020-03-31T00:00:00"/>
    <x v="0"/>
    <s v="Open Market"/>
    <m/>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s v="St. Margarets and North Twickenham"/>
    <x v="0"/>
    <m/>
    <x v="1"/>
    <x v="0"/>
    <m/>
    <m/>
    <m/>
    <s v="Conservation Area"/>
    <s v="CA19 St Margarets"/>
  </r>
  <r>
    <s v="16/2348/FUL"/>
    <s v="NEW"/>
    <m/>
    <d v="2016-11-30T00:00:00"/>
    <d v="2019-11-30T00:00:00"/>
    <d v="2018-04-25T00:00:00"/>
    <d v="2020-03-31T00:00:00"/>
    <x v="0"/>
    <s v="Open Market"/>
    <m/>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s v="North Richmond"/>
    <x v="0"/>
    <m/>
    <x v="0"/>
    <x v="0"/>
    <m/>
    <m/>
    <m/>
    <m/>
    <m/>
  </r>
  <r>
    <s v="16/2502/FUL"/>
    <s v="NEW"/>
    <m/>
    <d v="2017-03-16T00:00:00"/>
    <d v="2020-03-17T00:00:00"/>
    <d v="2018-02-01T00:00:00"/>
    <d v="2019-09-27T00:00:00"/>
    <x v="0"/>
    <s v="Open Market"/>
    <m/>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s v="South Twickenham"/>
    <x v="0"/>
    <m/>
    <x v="1"/>
    <x v="0"/>
    <m/>
    <m/>
    <m/>
    <m/>
    <m/>
  </r>
  <r>
    <s v="16/2975/GPD15"/>
    <s v="CHU"/>
    <s v="PA"/>
    <d v="2016-09-14T00:00:00"/>
    <d v="2019-09-14T00:00:00"/>
    <d v="2019-01-09T00:00:00"/>
    <d v="2019-12-23T00:00:00"/>
    <x v="0"/>
    <s v="Open Market"/>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s v="Twickenham Riverside"/>
    <x v="0"/>
    <s v="Twickenham"/>
    <x v="0"/>
    <x v="0"/>
    <m/>
    <m/>
    <m/>
    <s v="Conservation Area"/>
    <s v="CA47 Queens Road Twickenham"/>
  </r>
  <r>
    <s v="16/3210/GPD15"/>
    <s v="CHU"/>
    <s v="PA"/>
    <d v="2016-09-30T00:00:00"/>
    <d v="2019-09-30T00:00:00"/>
    <d v="2019-04-02T00:00:00"/>
    <d v="2020-02-11T00:00:00"/>
    <x v="0"/>
    <s v="Open Market"/>
    <m/>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s v="Whitton"/>
    <x v="0"/>
    <s v="Whitton"/>
    <x v="0"/>
    <x v="0"/>
    <m/>
    <m/>
    <m/>
    <m/>
    <m/>
  </r>
  <r>
    <s v="16/3247/FUL"/>
    <s v="NEW"/>
    <m/>
    <d v="2017-07-14T00:00:00"/>
    <d v="2020-10-31T00:00:00"/>
    <d v="2018-10-01T00:00:00"/>
    <d v="2020-01-21T00:00:00"/>
    <x v="0"/>
    <s v="Open Market"/>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s v="Heathfield"/>
    <x v="0"/>
    <m/>
    <x v="0"/>
    <x v="0"/>
    <m/>
    <m/>
    <m/>
    <m/>
    <m/>
  </r>
  <r>
    <s v="16/3485/FUL"/>
    <s v="CON"/>
    <m/>
    <d v="2017-10-30T00:00:00"/>
    <d v="2020-10-30T00:00:00"/>
    <d v="2020-01-10T00:00:00"/>
    <d v="2019-07-01T00:00:00"/>
    <x v="0"/>
    <s v="Open Market"/>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s v="Fulwell and Hampton Hill"/>
    <x v="0"/>
    <m/>
    <x v="0"/>
    <x v="0"/>
    <m/>
    <m/>
    <m/>
    <s v="Conservation Area"/>
    <s v="CA61 Bushy Park"/>
  </r>
  <r>
    <s v="16/3552/FUL"/>
    <s v="MIX"/>
    <m/>
    <d v="2018-04-24T00:00:00"/>
    <d v="2021-04-24T00:00:00"/>
    <d v="2018-04-25T00:00:00"/>
    <d v="2020-03-30T00:00:00"/>
    <x v="0"/>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s v="Ham, Petersham and Richmond Riverside"/>
    <x v="0"/>
    <m/>
    <x v="0"/>
    <x v="0"/>
    <m/>
    <m/>
    <m/>
    <s v="Conservation Area"/>
    <s v="CA7 Ham Common"/>
  </r>
  <r>
    <s v="16/3685/FUL"/>
    <s v="MIX"/>
    <m/>
    <d v="2016-11-16T00:00:00"/>
    <d v="2021-02-15T00:00:00"/>
    <d v="2018-06-22T00:00:00"/>
    <d v="2019-08-31T00:00:00"/>
    <x v="0"/>
    <s v="Open Market"/>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s v="St. Margarets and North Twickenham"/>
    <x v="0"/>
    <m/>
    <x v="0"/>
    <x v="0"/>
    <m/>
    <m/>
    <m/>
    <m/>
    <m/>
  </r>
  <r>
    <s v="16/4193/FUL"/>
    <s v="NEW"/>
    <m/>
    <d v="2017-07-19T00:00:00"/>
    <d v="2020-07-19T00:00:00"/>
    <m/>
    <d v="2019-11-13T00:00:00"/>
    <x v="0"/>
    <s v="Open Market"/>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s v="Hampton North"/>
    <x v="0"/>
    <m/>
    <x v="0"/>
    <x v="0"/>
    <m/>
    <m/>
    <m/>
    <m/>
    <m/>
  </r>
  <r>
    <s v="17/0164/GPD15"/>
    <s v="CHU"/>
    <s v="PA"/>
    <d v="2017-03-10T00:00:00"/>
    <d v="2020-03-10T00:00:00"/>
    <d v="2018-10-01T00:00:00"/>
    <d v="2019-04-24T00:00:00"/>
    <x v="0"/>
    <s v="Open Market"/>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s v="Twickenham Riverside"/>
    <x v="0"/>
    <s v="Twickenham"/>
    <x v="0"/>
    <x v="0"/>
    <m/>
    <m/>
    <m/>
    <s v="Conservation Area"/>
    <s v="CA47 Queens Road Twickenham"/>
  </r>
  <r>
    <s v="17/0396/FUL"/>
    <s v="NEW"/>
    <m/>
    <d v="2017-06-05T00:00:00"/>
    <d v="2020-06-05T00:00:00"/>
    <d v="2019-02-01T00:00:00"/>
    <d v="2020-03-23T00:00:00"/>
    <x v="0"/>
    <s v="Affordable Rent"/>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s v="Ham, Petersham and Richmond Riverside"/>
    <x v="0"/>
    <m/>
    <x v="0"/>
    <x v="0"/>
    <m/>
    <m/>
    <m/>
    <m/>
    <m/>
  </r>
  <r>
    <s v="17/0460/FUL"/>
    <s v="CON"/>
    <m/>
    <d v="2017-07-14T00:00:00"/>
    <d v="2020-07-14T00:00:00"/>
    <m/>
    <d v="2020-03-31T00:00:00"/>
    <x v="0"/>
    <s v="Open Market"/>
    <m/>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s v="Barnes"/>
    <x v="0"/>
    <m/>
    <x v="0"/>
    <x v="0"/>
    <m/>
    <m/>
    <m/>
    <s v="Conservation Area"/>
    <s v="CA25 Castelnau"/>
  </r>
  <r>
    <s v="17/0733/FUL"/>
    <s v="CON"/>
    <m/>
    <d v="2017-09-13T00:00:00"/>
    <d v="2020-09-13T00:00:00"/>
    <d v="2019-10-31T00:00:00"/>
    <d v="2020-03-18T00:00:00"/>
    <x v="0"/>
    <s v="Open Market"/>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s v="East Sheen"/>
    <x v="0"/>
    <s v="East Sheen"/>
    <x v="0"/>
    <x v="0"/>
    <m/>
    <m/>
    <m/>
    <m/>
    <m/>
  </r>
  <r>
    <s v="17/0956/FUL"/>
    <s v="NEW"/>
    <m/>
    <d v="2017-09-14T00:00:00"/>
    <d v="2020-09-14T00:00:00"/>
    <d v="2019-01-14T00:00:00"/>
    <d v="2020-02-20T00:00:00"/>
    <x v="0"/>
    <s v="Open Market"/>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s v="Barnes"/>
    <x v="0"/>
    <m/>
    <x v="0"/>
    <x v="1"/>
    <s v="Church Road/Castelnau"/>
    <m/>
    <m/>
    <m/>
    <m/>
  </r>
  <r>
    <s v="17/1207/FUL"/>
    <s v="NEW"/>
    <m/>
    <d v="2017-10-24T00:00:00"/>
    <d v="2020-10-24T00:00:00"/>
    <d v="2018-10-01T00:00:00"/>
    <d v="2019-11-18T00:00:00"/>
    <x v="0"/>
    <s v="Open Market"/>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s v="Kew"/>
    <x v="0"/>
    <m/>
    <x v="0"/>
    <x v="0"/>
    <m/>
    <m/>
    <m/>
    <s v="Conservation Area"/>
    <s v="CA15 Kew Gardens Kew"/>
  </r>
  <r>
    <s v="17/1286/VRC"/>
    <s v="NEW"/>
    <m/>
    <d v="2017-10-05T00:00:00"/>
    <d v="2017-12-09T00:00:00"/>
    <d v="2017-10-05T00:00:00"/>
    <d v="2019-08-19T00:00:00"/>
    <x v="0"/>
    <s v="Affordable Rent"/>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s v="Teddington"/>
    <x v="0"/>
    <m/>
    <x v="1"/>
    <x v="0"/>
    <m/>
    <m/>
    <m/>
    <m/>
    <m/>
  </r>
  <r>
    <s v="17/1286/VRC"/>
    <s v="NEW"/>
    <m/>
    <d v="2017-10-05T00:00:00"/>
    <d v="2017-12-09T00:00:00"/>
    <d v="2017-10-05T00:00:00"/>
    <d v="2019-12-0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s v="Teddington"/>
    <x v="0"/>
    <m/>
    <x v="1"/>
    <x v="0"/>
    <m/>
    <m/>
    <m/>
    <m/>
    <m/>
  </r>
  <r>
    <s v="17/1286/VRC"/>
    <s v="NEW"/>
    <m/>
    <d v="2017-10-05T00:00:00"/>
    <d v="2017-12-09T00:00:00"/>
    <d v="2017-10-05T00:00:00"/>
    <d v="2019-04-26T00:00:00"/>
    <x v="0"/>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s v="Teddington"/>
    <x v="0"/>
    <m/>
    <x v="1"/>
    <x v="0"/>
    <m/>
    <m/>
    <m/>
    <m/>
    <m/>
  </r>
  <r>
    <s v="17/1621/FUL"/>
    <s v="CHU"/>
    <m/>
    <d v="2017-10-09T00:00:00"/>
    <d v="2021-04-03T00:00:00"/>
    <d v="2019-09-05T00:00:00"/>
    <d v="2019-10-29T00:00:00"/>
    <x v="0"/>
    <s v="Open Market"/>
    <m/>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s v="South Richmond"/>
    <x v="0"/>
    <s v="Richmond"/>
    <x v="0"/>
    <x v="0"/>
    <m/>
    <m/>
    <m/>
    <s v="Conservation Area"/>
    <s v="CA17 Central Richmond"/>
  </r>
  <r>
    <s v="17/2534/FUL"/>
    <s v="CON"/>
    <m/>
    <d v="2018-02-22T00:00:00"/>
    <d v="2021-02-22T00:00:00"/>
    <d v="2019-03-01T00:00:00"/>
    <d v="2020-03-25T00:00:00"/>
    <x v="0"/>
    <s v="Open Market"/>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s v="South Richmond"/>
    <x v="0"/>
    <m/>
    <x v="0"/>
    <x v="0"/>
    <m/>
    <m/>
    <m/>
    <s v="Conservation Area"/>
    <s v="CA30 St Matthias Richmond"/>
  </r>
  <r>
    <s v="17/2779/NMA"/>
    <s v="NEW"/>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s v="Ham, Petersham and Richmond Riverside"/>
    <x v="0"/>
    <m/>
    <x v="0"/>
    <x v="0"/>
    <m/>
    <m/>
    <m/>
    <m/>
    <m/>
  </r>
  <r>
    <s v="17/2779/NMA"/>
    <s v="NEW"/>
    <m/>
    <d v="2018-03-09T00:00:00"/>
    <d v="2021-03-09T00:00:00"/>
    <d v="2016-05-02T00:00:00"/>
    <d v="2020-03-31T00:00:00"/>
    <x v="0"/>
    <s v="Open Market"/>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s v="Ham, Petersham and Richmond Riverside"/>
    <x v="0"/>
    <m/>
    <x v="0"/>
    <x v="0"/>
    <m/>
    <m/>
    <m/>
    <m/>
    <m/>
  </r>
  <r>
    <s v="17/2995/FUL"/>
    <s v="CHU"/>
    <m/>
    <d v="2018-04-24T00:00:00"/>
    <d v="2021-04-24T00:00:00"/>
    <d v="2019-01-31T00:00:00"/>
    <d v="2019-04-10T00:00:00"/>
    <x v="0"/>
    <s v="Open Market"/>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s v="North Richmond"/>
    <x v="0"/>
    <m/>
    <x v="0"/>
    <x v="0"/>
    <m/>
    <m/>
    <m/>
    <s v="Conservation Area"/>
    <s v="CA17 Central Richmond"/>
  </r>
  <r>
    <s v="17/3132/FUL"/>
    <s v="NEW"/>
    <m/>
    <d v="2018-10-16T00:00:00"/>
    <d v="2021-10-16T00:00:00"/>
    <d v="2019-02-05T00:00:00"/>
    <d v="2020-03-31T00:00:00"/>
    <x v="0"/>
    <s v="Open Market"/>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s v="Twickenham Riverside"/>
    <x v="1"/>
    <m/>
    <x v="0"/>
    <x v="0"/>
    <m/>
    <m/>
    <m/>
    <m/>
    <m/>
  </r>
  <r>
    <s v="17/3347/FUL"/>
    <s v="NEW"/>
    <m/>
    <d v="2018-07-25T00:00:00"/>
    <d v="2021-07-25T00:00:00"/>
    <d v="2018-11-01T00:00:00"/>
    <d v="2019-12-02T00:00:00"/>
    <x v="0"/>
    <s v="Open Market"/>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s v="Mortlake and Barnes Common"/>
    <x v="0"/>
    <m/>
    <x v="0"/>
    <x v="0"/>
    <m/>
    <m/>
    <m/>
    <m/>
    <m/>
  </r>
  <r>
    <s v="17/3591/FUL"/>
    <s v="CON"/>
    <m/>
    <d v="2018-10-12T00:00:00"/>
    <d v="2021-10-12T00:00:00"/>
    <m/>
    <d v="2020-03-31T00:00:00"/>
    <x v="0"/>
    <s v="Open Market"/>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s v="Whitton"/>
    <x v="0"/>
    <s v="Whitton"/>
    <x v="0"/>
    <x v="0"/>
    <m/>
    <m/>
    <m/>
    <m/>
    <m/>
  </r>
  <r>
    <s v="17/4238/FUL"/>
    <s v="NEW"/>
    <m/>
    <d v="2018-02-23T00:00:00"/>
    <d v="2021-02-26T00:00:00"/>
    <d v="2019-02-13T00:00:00"/>
    <d v="2019-10-30T00:00:00"/>
    <x v="0"/>
    <s v="Open Market"/>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s v="Teddington"/>
    <x v="0"/>
    <m/>
    <x v="0"/>
    <x v="0"/>
    <m/>
    <m/>
    <m/>
    <m/>
    <m/>
  </r>
  <r>
    <s v="17/4606/FUL"/>
    <s v="NEW"/>
    <m/>
    <d v="2018-05-04T00:00:00"/>
    <d v="2021-05-04T00:00:00"/>
    <d v="2018-06-01T00:00:00"/>
    <d v="2019-05-31T00:00:00"/>
    <x v="0"/>
    <s v="Open Market"/>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s v="Ham, Petersham and Richmond Riverside"/>
    <x v="0"/>
    <m/>
    <x v="0"/>
    <x v="0"/>
    <m/>
    <m/>
    <m/>
    <s v="Conservation Area"/>
    <s v="CA7 Ham Common"/>
  </r>
  <r>
    <s v="18/0318/FUL"/>
    <s v="CON"/>
    <m/>
    <d v="2018-10-09T00:00:00"/>
    <d v="2021-10-09T00:00:00"/>
    <d v="2018-11-01T00:00:00"/>
    <d v="2020-03-18T00:00:00"/>
    <x v="0"/>
    <s v="Open Market"/>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s v="West Twickenham"/>
    <x v="0"/>
    <m/>
    <x v="0"/>
    <x v="0"/>
    <m/>
    <m/>
    <m/>
    <m/>
    <m/>
  </r>
  <r>
    <s v="18/0433/FUL"/>
    <s v="CHU"/>
    <m/>
    <d v="2018-07-24T00:00:00"/>
    <d v="2021-07-24T00:00:00"/>
    <d v="2019-05-01T00:00:00"/>
    <d v="2019-09-14T00:00:00"/>
    <x v="0"/>
    <s v="Open Market"/>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s v="St. Margarets and North Twickenham"/>
    <x v="0"/>
    <m/>
    <x v="0"/>
    <x v="0"/>
    <m/>
    <m/>
    <m/>
    <m/>
    <m/>
  </r>
  <r>
    <s v="18/0665/FUL"/>
    <s v="NEW"/>
    <m/>
    <d v="2018-09-20T00:00:00"/>
    <d v="2021-09-20T00:00:00"/>
    <d v="2018-04-09T00:00:00"/>
    <d v="2019-08-01T00:00:00"/>
    <x v="0"/>
    <s v="Open Market"/>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s v="South Twickenham"/>
    <x v="0"/>
    <m/>
    <x v="0"/>
    <x v="0"/>
    <m/>
    <m/>
    <m/>
    <m/>
    <m/>
  </r>
  <r>
    <s v="18/0737/FUL"/>
    <s v="CHU"/>
    <m/>
    <d v="2018-12-12T00:00:00"/>
    <d v="2021-12-13T00:00:00"/>
    <d v="2019-01-08T00:00:00"/>
    <d v="2020-02-07T00:00:00"/>
    <x v="0"/>
    <s v="Open Market"/>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s v="Mortlake and Barnes Common"/>
    <x v="0"/>
    <m/>
    <x v="0"/>
    <x v="1"/>
    <s v="White Hart lane"/>
    <m/>
    <m/>
    <m/>
    <m/>
  </r>
  <r>
    <s v="18/0743/FUL"/>
    <s v="NEW"/>
    <m/>
    <d v="2018-08-23T00:00:00"/>
    <d v="2021-08-23T00:00:00"/>
    <m/>
    <d v="2019-05-28T00:00:00"/>
    <x v="0"/>
    <s v="Open Market"/>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s v="West Twickenham"/>
    <x v="1"/>
    <m/>
    <x v="0"/>
    <x v="0"/>
    <m/>
    <m/>
    <m/>
    <m/>
    <m/>
  </r>
  <r>
    <s v="18/0745/FUL"/>
    <s v="CON"/>
    <m/>
    <d v="2018-07-06T00:00:00"/>
    <d v="2021-07-06T00:00:00"/>
    <d v="2018-10-01T00:00:00"/>
    <d v="2019-10-15T00:00:00"/>
    <x v="0"/>
    <s v="Open Market"/>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s v="Teddington"/>
    <x v="0"/>
    <m/>
    <x v="0"/>
    <x v="0"/>
    <m/>
    <m/>
    <m/>
    <s v="Conservation Area"/>
    <s v="CA27 Teddington Lock"/>
  </r>
  <r>
    <s v="18/0860/GPD15"/>
    <s v="CHU"/>
    <s v="PA"/>
    <d v="2018-05-08T00:00:00"/>
    <d v="2021-05-08T00:00:00"/>
    <m/>
    <d v="2019-06-14T00:00:00"/>
    <x v="0"/>
    <s v="Open Market"/>
    <m/>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s v="Teddington"/>
    <x v="0"/>
    <s v="Teddington"/>
    <x v="0"/>
    <x v="0"/>
    <m/>
    <m/>
    <m/>
    <m/>
    <m/>
  </r>
  <r>
    <s v="18/1175/FUL"/>
    <s v="EXT"/>
    <m/>
    <d v="2018-10-05T00:00:00"/>
    <d v="2021-10-05T00:00:00"/>
    <d v="2019-05-17T00:00:00"/>
    <d v="2019-09-10T00:00:00"/>
    <x v="0"/>
    <s v="Open Market"/>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s v="North Richmond"/>
    <x v="0"/>
    <m/>
    <x v="0"/>
    <x v="0"/>
    <m/>
    <m/>
    <m/>
    <m/>
    <m/>
  </r>
  <r>
    <s v="18/1360/GPD15"/>
    <s v="CHU"/>
    <s v="PA"/>
    <d v="2018-06-15T00:00:00"/>
    <d v="2021-06-15T00:00:00"/>
    <d v="2019-05-03T00:00:00"/>
    <d v="2019-09-12T00:00:00"/>
    <x v="0"/>
    <s v="Open Market"/>
    <m/>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s v="East Sheen"/>
    <x v="0"/>
    <s v="East Sheen"/>
    <x v="0"/>
    <x v="0"/>
    <m/>
    <m/>
    <m/>
    <m/>
    <m/>
  </r>
  <r>
    <s v="18/1566/FUL"/>
    <s v="CON"/>
    <m/>
    <d v="2018-09-25T00:00:00"/>
    <d v="2021-09-25T00:00:00"/>
    <d v="2019-01-31T00:00:00"/>
    <d v="2019-10-10T00:00:00"/>
    <x v="0"/>
    <s v="Open Market"/>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s v="St. Margarets and North Twickenham"/>
    <x v="0"/>
    <m/>
    <x v="0"/>
    <x v="0"/>
    <m/>
    <m/>
    <m/>
    <m/>
    <m/>
  </r>
  <r>
    <s v="18/1569/FUL"/>
    <s v="CON"/>
    <m/>
    <d v="2018-08-17T00:00:00"/>
    <d v="2022-03-11T00:00:00"/>
    <d v="2019-03-31T00:00:00"/>
    <d v="2019-05-31T00:00:00"/>
    <x v="0"/>
    <s v="Open Market"/>
    <m/>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s v="Twickenham Riverside"/>
    <x v="0"/>
    <m/>
    <x v="0"/>
    <x v="0"/>
    <m/>
    <m/>
    <m/>
    <s v="Conservation Area"/>
    <s v="CA21 Cambridge Park East Twickenham"/>
  </r>
  <r>
    <s v="18/1722/GPD13"/>
    <s v="CHU"/>
    <s v="PA"/>
    <d v="2018-07-12T00:00:00"/>
    <d v="2021-07-12T00:00:00"/>
    <d v="2018-04-02T00:00:00"/>
    <d v="2019-10-14T00:00:00"/>
    <x v="0"/>
    <s v="Open Market"/>
    <m/>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s v="Fulwell and Hampton Hill"/>
    <x v="0"/>
    <m/>
    <x v="0"/>
    <x v="1"/>
    <s v="Stanley Road"/>
    <m/>
    <m/>
    <m/>
    <m/>
  </r>
  <r>
    <s v="18/1817/GPD15"/>
    <s v="CHU"/>
    <s v="PA"/>
    <d v="2018-06-29T00:00:00"/>
    <d v="2021-06-29T00:00:00"/>
    <m/>
    <d v="2020-02-21T00:00:00"/>
    <x v="0"/>
    <s v="Open Market"/>
    <m/>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s v="Fulwell and Hampton Hill"/>
    <x v="0"/>
    <m/>
    <x v="0"/>
    <x v="0"/>
    <m/>
    <m/>
    <m/>
    <m/>
    <m/>
  </r>
  <r>
    <s v="18/2296/ES191"/>
    <s v="CON"/>
    <m/>
    <d v="2018-08-20T00:00:00"/>
    <d v="2019-11-29T00:00:00"/>
    <m/>
    <d v="2019-11-29T00:00:00"/>
    <x v="0"/>
    <s v="Open Market"/>
    <m/>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s v="Heathfield"/>
    <x v="0"/>
    <m/>
    <x v="0"/>
    <x v="0"/>
    <m/>
    <m/>
    <m/>
    <m/>
    <m/>
  </r>
  <r>
    <s v="18/2620/FUL"/>
    <s v="EXT"/>
    <m/>
    <d v="2019-01-04T00:00:00"/>
    <d v="2022-01-04T00:00:00"/>
    <d v="2018-04-02T00:00:00"/>
    <d v="2019-12-02T00:00:00"/>
    <x v="0"/>
    <s v="Open Market"/>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s v="Fulwell and Hampton Hill"/>
    <x v="0"/>
    <m/>
    <x v="0"/>
    <x v="1"/>
    <s v="Stanley Road"/>
    <m/>
    <m/>
    <m/>
    <m/>
  </r>
  <r>
    <s v="19/0141/ES191"/>
    <s v="CHU"/>
    <m/>
    <d v="2019-06-21T00:00:00"/>
    <d v="2019-06-21T00:00:00"/>
    <d v="2019-06-21T00:00:00"/>
    <d v="2019-06-21T00:00:00"/>
    <x v="0"/>
    <s v="Open Market"/>
    <m/>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s v="St. Margarets and North Twickenham"/>
    <x v="0"/>
    <m/>
    <x v="1"/>
    <x v="0"/>
    <m/>
    <m/>
    <s v="Thames Old Deer Park"/>
    <s v="Conservation Area"/>
    <s v="CA19 St Margarets"/>
  </r>
  <r>
    <s v="19/0475/FUL"/>
    <s v="MIX"/>
    <m/>
    <d v="2019-07-31T00:00:00"/>
    <d v="2022-07-31T00:00:00"/>
    <m/>
    <d v="2020-02-26T00:00:00"/>
    <x v="0"/>
    <s v="Open Market"/>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s v="Fulwell and Hampton Hill"/>
    <x v="0"/>
    <m/>
    <x v="0"/>
    <x v="1"/>
    <s v="High Street"/>
    <m/>
    <m/>
    <m/>
    <m/>
  </r>
  <r>
    <s v="19/0739/FUL"/>
    <s v="CON"/>
    <m/>
    <d v="2019-10-23T00:00:00"/>
    <d v="2022-10-23T00:00:00"/>
    <m/>
    <d v="2019-10-23T00:00:00"/>
    <x v="0"/>
    <s v="Open Market"/>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s v="Kew"/>
    <x v="0"/>
    <m/>
    <x v="0"/>
    <x v="0"/>
    <m/>
    <m/>
    <m/>
    <s v="Conservation Area"/>
    <s v="CA15 Kew Gardens Kew"/>
  </r>
  <r>
    <s v="19/1100/FUL"/>
    <s v="CHU"/>
    <m/>
    <d v="2019-10-10T00:00:00"/>
    <d v="2022-10-10T00:00:00"/>
    <d v="2019-10-01T00:00:00"/>
    <d v="2020-01-31T00:00:00"/>
    <x v="0"/>
    <s v="Open Market"/>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s v="St. Margarets and North Twickenham"/>
    <x v="0"/>
    <m/>
    <x v="0"/>
    <x v="1"/>
    <s v="St Margarets"/>
    <m/>
    <m/>
    <s v="Conservation Area"/>
    <s v="CA49 Crown Road St Margarets"/>
  </r>
  <r>
    <s v="19/1217/ES191"/>
    <s v="CON"/>
    <m/>
    <d v="2019-06-11T00:00:00"/>
    <d v="2019-06-11T00:00:00"/>
    <d v="2019-06-11T00:00:00"/>
    <d v="2019-06-11T00:00:00"/>
    <x v="0"/>
    <s v="Open Market"/>
    <m/>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s v="Twickenham Riverside"/>
    <x v="0"/>
    <m/>
    <x v="1"/>
    <x v="0"/>
    <m/>
    <m/>
    <m/>
    <s v="Conservation Area"/>
    <s v="CA8 Twickenham Riverside"/>
  </r>
  <r>
    <s v="19/2022/ES191"/>
    <s v="CON"/>
    <m/>
    <d v="2019-09-16T00:00:00"/>
    <d v="2022-09-17T00:00:00"/>
    <m/>
    <d v="2019-09-17T00:00:00"/>
    <x v="0"/>
    <s v="Open Market"/>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s v="Teddington"/>
    <x v="0"/>
    <m/>
    <x v="0"/>
    <x v="0"/>
    <m/>
    <m/>
    <m/>
    <m/>
    <m/>
  </r>
  <r>
    <s v="19/2544/FUL"/>
    <s v="CHU"/>
    <m/>
    <d v="2019-12-10T00:00:00"/>
    <d v="2022-12-10T00:00:00"/>
    <m/>
    <d v="2019-12-14T00:00:00"/>
    <x v="0"/>
    <s v="Open Market"/>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s v="Hampton North"/>
    <x v="0"/>
    <m/>
    <x v="0"/>
    <x v="0"/>
    <m/>
    <m/>
    <m/>
    <m/>
    <m/>
  </r>
  <r>
    <s v="19/3241/FUL"/>
    <s v="EXT"/>
    <m/>
    <d v="2020-03-13T00:00:00"/>
    <d v="2023-03-16T00:00:00"/>
    <d v="2020-03-16T00:00:00"/>
    <d v="2020-03-16T00:00:00"/>
    <x v="0"/>
    <s v="Open Market"/>
    <m/>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s v="West Twickenham"/>
    <x v="0"/>
    <m/>
    <x v="0"/>
    <x v="0"/>
    <m/>
    <m/>
    <m/>
    <m/>
    <m/>
  </r>
  <r>
    <s v="19/3586/ES191"/>
    <s v="CHU"/>
    <m/>
    <d v="2020-01-20T00:00:00"/>
    <d v="2020-01-20T00:00:00"/>
    <m/>
    <d v="2020-01-20T00:00:00"/>
    <x v="0"/>
    <s v="Open Market"/>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s v="Heathfield"/>
    <x v="0"/>
    <m/>
    <x v="0"/>
    <x v="0"/>
    <m/>
    <m/>
    <m/>
    <m/>
    <m/>
  </r>
  <r>
    <s v="19/3757/ES191"/>
    <s v="CON"/>
    <m/>
    <d v="2020-01-31T00:00:00"/>
    <d v="2020-01-31T00:00:00"/>
    <m/>
    <d v="2020-01-31T00:00:00"/>
    <x v="0"/>
    <s v="Open Market"/>
    <m/>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s v="Twickenham Riverside"/>
    <x v="0"/>
    <m/>
    <x v="0"/>
    <x v="0"/>
    <m/>
    <m/>
    <m/>
    <s v="Conservation Area"/>
    <s v="CA8 Twickenham Riverside"/>
  </r>
  <r>
    <s v="19/3854/ES191"/>
    <s v="CHU"/>
    <m/>
    <d v="2020-02-25T00:00:00"/>
    <d v="2020-02-25T00:00:00"/>
    <m/>
    <d v="2020-02-25T00:00:00"/>
    <x v="0"/>
    <s v="Open Market"/>
    <m/>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s v="Hampton"/>
    <x v="0"/>
    <m/>
    <x v="0"/>
    <x v="1"/>
    <s v="Thames Street"/>
    <m/>
    <m/>
    <s v="Conservation Area"/>
    <s v="CA12 Hampton Village"/>
  </r>
  <r>
    <s v="99/2063"/>
    <s v="NEW"/>
    <m/>
    <d v="2000-02-03T00:00:00"/>
    <d v="2005-02-03T00:00:00"/>
    <d v="2005-01-14T00:00:00"/>
    <d v="2019-07-18T00:00:00"/>
    <x v="0"/>
    <s v="Open Market"/>
    <m/>
    <s v="Proposed Dwelling House"/>
    <s v="6 Boileau Road Barnes"/>
    <m/>
    <m/>
    <m/>
    <m/>
    <m/>
    <m/>
    <m/>
    <m/>
    <m/>
    <n v="0"/>
    <m/>
    <n v="1"/>
    <m/>
    <m/>
    <m/>
    <m/>
    <m/>
    <m/>
    <n v="0"/>
    <n v="1"/>
    <n v="1"/>
    <n v="0"/>
    <n v="0"/>
    <n v="0"/>
    <n v="0"/>
    <n v="0"/>
    <n v="0"/>
    <n v="0"/>
    <n v="1"/>
    <m/>
    <n v="1"/>
    <n v="0"/>
    <n v="0"/>
    <n v="0"/>
    <n v="0"/>
    <n v="0"/>
    <m/>
    <m/>
    <m/>
    <m/>
    <m/>
    <n v="0"/>
    <n v="522457"/>
    <n v="177328"/>
    <s v="Barnes"/>
    <x v="0"/>
    <m/>
    <x v="0"/>
    <x v="0"/>
    <m/>
    <m/>
    <m/>
    <m/>
    <m/>
  </r>
  <r>
    <s v="13/0998/FUL"/>
    <s v="NEW"/>
    <m/>
    <d v="2013-11-05T00:00:00"/>
    <d v="2016-11-05T00:00:00"/>
    <d v="2016-08-14T00:00:00"/>
    <m/>
    <x v="1"/>
    <s v="Open Market"/>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s v="Fulwell and Hampton Hill"/>
    <x v="0"/>
    <m/>
    <x v="0"/>
    <x v="0"/>
    <m/>
    <m/>
    <m/>
    <m/>
    <m/>
  </r>
  <r>
    <s v="19/0637/FUL"/>
    <s v="NEW"/>
    <m/>
    <d v="2020-02-06T00:00:00"/>
    <d v="2023-02-06T00:00:00"/>
    <d v="2020-09-21T00:00:00"/>
    <m/>
    <x v="1"/>
    <s v="Open Market"/>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s v="Kew"/>
    <x v="0"/>
    <m/>
    <x v="0"/>
    <x v="0"/>
    <m/>
    <m/>
    <m/>
    <m/>
    <m/>
  </r>
  <r>
    <s v="19/2246/FUL"/>
    <s v="CON"/>
    <m/>
    <d v="2019-10-22T00:00:00"/>
    <d v="2022-10-22T00:00:00"/>
    <m/>
    <d v="2020-06-15T00:00:00"/>
    <x v="1"/>
    <s v="Open Market"/>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s v="Teddington"/>
    <x v="0"/>
    <m/>
    <x v="1"/>
    <x v="0"/>
    <m/>
    <m/>
    <m/>
    <m/>
    <m/>
  </r>
  <r>
    <s v="07/3348/FUL"/>
    <s v="NEW"/>
    <m/>
    <d v="2008-04-01T00:00:00"/>
    <d v="2011-04-01T00:00:00"/>
    <d v="2012-08-17T00:00:00"/>
    <m/>
    <x v="1"/>
    <s v="Open Market"/>
    <m/>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s v="Ham, Petersham and Richmond Riverside"/>
    <x v="0"/>
    <m/>
    <x v="0"/>
    <x v="0"/>
    <m/>
    <m/>
    <m/>
    <m/>
    <m/>
  </r>
  <r>
    <s v="11/1443/FUL"/>
    <s v="NEW"/>
    <m/>
    <d v="2012-03-30T00:00:00"/>
    <d v="2015-03-30T00:00:00"/>
    <d v="2015-03-14T00:00:00"/>
    <m/>
    <x v="1"/>
    <s v="Open Market"/>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s v="St. Margarets and North Twickenham"/>
    <x v="0"/>
    <s v="Twickenham"/>
    <x v="0"/>
    <x v="0"/>
    <m/>
    <m/>
    <m/>
    <m/>
    <m/>
  </r>
  <r>
    <s v="13/1327/FUL"/>
    <s v="CHU"/>
    <m/>
    <d v="2013-09-03T00:00:00"/>
    <d v="2016-09-03T00:00:00"/>
    <d v="2016-08-19T00:00:00"/>
    <m/>
    <x v="1"/>
    <s v="Open Market"/>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s v="Ham, Petersham and Richmond Riverside"/>
    <x v="0"/>
    <m/>
    <x v="1"/>
    <x v="0"/>
    <m/>
    <m/>
    <m/>
    <s v="Conservation Area"/>
    <s v="CA5 Richmond Hill"/>
  </r>
  <r>
    <s v="14/2118/FUL"/>
    <s v="CON"/>
    <m/>
    <d v="2014-07-18T00:00:00"/>
    <d v="2018-01-19T00:00:00"/>
    <d v="2017-10-01T00:00:00"/>
    <m/>
    <x v="1"/>
    <s v="Open Market"/>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s v="East Sheen"/>
    <x v="0"/>
    <m/>
    <x v="0"/>
    <x v="0"/>
    <m/>
    <m/>
    <m/>
    <s v="Conservation Area"/>
    <s v="CA64 Sheen Lane East Sheen"/>
  </r>
  <r>
    <s v="14/2257/FUL"/>
    <s v="MIX"/>
    <m/>
    <d v="2015-03-26T00:00:00"/>
    <d v="2018-03-27T00:00:00"/>
    <d v="2016-06-01T00:00:00"/>
    <m/>
    <x v="1"/>
    <s v="Open Market"/>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s v="Heathfield"/>
    <x v="0"/>
    <m/>
    <x v="0"/>
    <x v="0"/>
    <m/>
    <m/>
    <m/>
    <m/>
    <m/>
  </r>
  <r>
    <s v="14/2797/P3JPA"/>
    <s v="CHU"/>
    <s v="PA"/>
    <d v="2015-08-20T00:00:00"/>
    <d v="2017-11-27T00:00:00"/>
    <d v="2017-06-30T00:00:00"/>
    <m/>
    <x v="1"/>
    <s v="Open Market"/>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s v="South Twickenham"/>
    <x v="0"/>
    <m/>
    <x v="0"/>
    <x v="0"/>
    <m/>
    <m/>
    <m/>
    <m/>
    <m/>
  </r>
  <r>
    <s v="14/3011/FUL"/>
    <s v="CHU"/>
    <m/>
    <d v="2015-04-17T00:00:00"/>
    <d v="2018-04-20T00:00:00"/>
    <d v="2018-04-04T00:00:00"/>
    <m/>
    <x v="1"/>
    <s v="Open Market"/>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s v="Teddington"/>
    <x v="0"/>
    <s v="Teddington"/>
    <x v="0"/>
    <x v="0"/>
    <m/>
    <m/>
    <m/>
    <m/>
    <m/>
  </r>
  <r>
    <s v="14/3780/FUL"/>
    <s v="MIX"/>
    <m/>
    <d v="2015-04-30T00:00:00"/>
    <d v="2018-04-30T00:00:00"/>
    <d v="2016-07-01T00:00:00"/>
    <m/>
    <x v="1"/>
    <s v="Open Market"/>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s v="South Richmond"/>
    <x v="0"/>
    <s v="Richmond"/>
    <x v="0"/>
    <x v="0"/>
    <m/>
    <m/>
    <m/>
    <s v="Conservation Area"/>
    <s v="CA17 Central Richmond"/>
  </r>
  <r>
    <s v="14/4839/FUL"/>
    <s v="NEW"/>
    <m/>
    <d v="2016-07-14T00:00:00"/>
    <d v="2019-07-14T00:00:00"/>
    <d v="2019-06-01T00:00:00"/>
    <m/>
    <x v="1"/>
    <s v="Open Market"/>
    <m/>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s v="Twickenham Riverside"/>
    <x v="0"/>
    <m/>
    <x v="1"/>
    <x v="0"/>
    <m/>
    <m/>
    <m/>
    <s v="Conservation Area"/>
    <s v="CA8 Twickenham Riverside"/>
  </r>
  <r>
    <s v="14/5284/FUL"/>
    <s v="CON"/>
    <m/>
    <d v="2015-02-16T00:00:00"/>
    <d v="2018-02-16T00:00:00"/>
    <d v="2018-03-23T00:00:00"/>
    <m/>
    <x v="1"/>
    <s v="Open Market"/>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s v="South Richmond"/>
    <x v="0"/>
    <m/>
    <x v="0"/>
    <x v="0"/>
    <m/>
    <m/>
    <m/>
    <s v="Conservation Area"/>
    <s v="CA5 Richmond Hill"/>
  </r>
  <r>
    <s v="14/5306/FUL"/>
    <s v="CHU"/>
    <m/>
    <d v="2015-06-22T00:00:00"/>
    <d v="2018-06-22T00:00:00"/>
    <d v="2017-05-01T00:00:00"/>
    <m/>
    <x v="1"/>
    <s v="Open Market"/>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s v="North Richmond"/>
    <x v="0"/>
    <s v="Richmond"/>
    <x v="0"/>
    <x v="0"/>
    <m/>
    <m/>
    <m/>
    <s v="Conservation Area"/>
    <s v="CA17 Central Richmond"/>
  </r>
  <r>
    <s v="15/1486/FUL"/>
    <s v="NEW"/>
    <m/>
    <d v="2015-07-16T00:00:00"/>
    <d v="2018-07-16T00:00:00"/>
    <d v="2018-06-04T00:00:00"/>
    <m/>
    <x v="1"/>
    <s v="Open Market"/>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s v="Heathfield"/>
    <x v="0"/>
    <m/>
    <x v="0"/>
    <x v="0"/>
    <m/>
    <m/>
    <m/>
    <m/>
    <m/>
  </r>
  <r>
    <s v="15/2854/FUL"/>
    <s v="NEW"/>
    <m/>
    <d v="2016-06-02T00:00:00"/>
    <d v="2019-06-02T00:00:00"/>
    <d v="2019-05-01T00:00:00"/>
    <m/>
    <x v="1"/>
    <s v="Affordable Rent"/>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s v="Ham, Petersham and Richmond Riverside"/>
    <x v="0"/>
    <m/>
    <x v="0"/>
    <x v="0"/>
    <m/>
    <m/>
    <m/>
    <m/>
    <m/>
  </r>
  <r>
    <s v="15/2855/FUL"/>
    <s v="NEW"/>
    <m/>
    <d v="2016-06-02T00:00:00"/>
    <d v="2019-06-02T00:00:00"/>
    <d v="2019-05-28T00:00:00"/>
    <m/>
    <x v="1"/>
    <s v="Affordable Rent"/>
    <m/>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s v="Ham, Petersham and Richmond Riverside"/>
    <x v="0"/>
    <m/>
    <x v="0"/>
    <x v="0"/>
    <m/>
    <m/>
    <m/>
    <m/>
    <m/>
  </r>
  <r>
    <s v="15/2857/FUL"/>
    <s v="NEW"/>
    <m/>
    <d v="2016-11-17T00:00:00"/>
    <d v="2019-11-17T00:00:00"/>
    <d v="2019-10-16T00:00:00"/>
    <m/>
    <x v="1"/>
    <s v="Affordable Rent"/>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s v="Ham, Petersham and Richmond Riverside"/>
    <x v="0"/>
    <m/>
    <x v="0"/>
    <x v="0"/>
    <m/>
    <m/>
    <m/>
    <m/>
    <m/>
  </r>
  <r>
    <s v="15/3072/FUL"/>
    <s v="CHU"/>
    <m/>
    <d v="2016-10-07T00:00:00"/>
    <d v="2019-10-07T00:00:00"/>
    <d v="2018-03-01T00:00:00"/>
    <m/>
    <x v="1"/>
    <s v="Open Market"/>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s v="Teddington"/>
    <x v="0"/>
    <m/>
    <x v="0"/>
    <x v="0"/>
    <m/>
    <m/>
    <m/>
    <s v="Conservation Area"/>
    <s v="CA37 High Street Teddington"/>
  </r>
  <r>
    <s v="15/3518/FUL"/>
    <s v="NEW"/>
    <m/>
    <d v="2019-03-08T00:00:00"/>
    <d v="2022-03-08T00:00:00"/>
    <d v="2019-10-01T00:00:00"/>
    <m/>
    <x v="1"/>
    <s v="Open Market"/>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s v="Twickenham Riverside"/>
    <x v="0"/>
    <m/>
    <x v="0"/>
    <x v="0"/>
    <m/>
    <m/>
    <m/>
    <m/>
    <m/>
  </r>
  <r>
    <s v="15/5217/NMA1"/>
    <s v="NEW"/>
    <m/>
    <d v="2019-10-11T00:00:00"/>
    <d v="2022-10-11T00:00:00"/>
    <d v="2019-10-16T00:00:00"/>
    <m/>
    <x v="1"/>
    <s v="Open Market"/>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s v="South Richmond"/>
    <x v="0"/>
    <m/>
    <x v="0"/>
    <x v="0"/>
    <m/>
    <m/>
    <m/>
    <s v="Conservation Area"/>
    <s v="CA30 St Matthias Richmond"/>
  </r>
  <r>
    <s v="15/5351/FUL"/>
    <s v="NEW"/>
    <m/>
    <d v="2017-04-06T00:00:00"/>
    <d v="2020-04-07T00:00:00"/>
    <d v="2020-02-23T00:00:00"/>
    <m/>
    <x v="1"/>
    <s v="Open Market"/>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s v="West Twickenham"/>
    <x v="0"/>
    <m/>
    <x v="0"/>
    <x v="0"/>
    <m/>
    <m/>
    <m/>
    <m/>
    <m/>
  </r>
  <r>
    <s v="16/0058/FUL"/>
    <s v="CHU"/>
    <m/>
    <d v="2016-07-14T00:00:00"/>
    <d v="2019-07-14T00:00:00"/>
    <d v="2019-07-10T00:00:00"/>
    <m/>
    <x v="1"/>
    <s v="Open Market"/>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s v="South Richmond"/>
    <x v="0"/>
    <s v="Richmond"/>
    <x v="0"/>
    <x v="0"/>
    <m/>
    <m/>
    <m/>
    <s v="Conservation Area"/>
    <s v="CA17 Central Richmond"/>
  </r>
  <r>
    <s v="16/0432/FUL"/>
    <s v="NEW"/>
    <m/>
    <d v="2016-08-31T00:00:00"/>
    <d v="2019-08-31T00:00:00"/>
    <d v="2017-05-09T00:00:00"/>
    <m/>
    <x v="1"/>
    <s v="Open Market"/>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s v="Barnes"/>
    <x v="0"/>
    <m/>
    <x v="0"/>
    <x v="0"/>
    <m/>
    <m/>
    <m/>
    <s v="Conservation Area"/>
    <s v="CA25 Castelnau"/>
  </r>
  <r>
    <s v="16/0680/FUL"/>
    <s v="EXT"/>
    <m/>
    <d v="2016-04-19T00:00:00"/>
    <d v="2019-04-19T00:00:00"/>
    <d v="2016-07-01T00:00:00"/>
    <m/>
    <x v="1"/>
    <s v="Open Market"/>
    <m/>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s v="East Sheen"/>
    <x v="0"/>
    <m/>
    <x v="0"/>
    <x v="0"/>
    <m/>
    <m/>
    <m/>
    <m/>
    <m/>
  </r>
  <r>
    <s v="16/0905/FUL"/>
    <s v="NEW"/>
    <m/>
    <d v="2017-02-23T00:00:00"/>
    <d v="2020-02-23T00:00:00"/>
    <d v="2020-02-19T00:00:00"/>
    <m/>
    <x v="1"/>
    <s v="Open Market"/>
    <m/>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s v="Kew"/>
    <x v="0"/>
    <m/>
    <x v="0"/>
    <x v="1"/>
    <s v="Sandycombe Road North"/>
    <m/>
    <m/>
    <s v="Conservation Area"/>
    <s v="CA15 Kew Gardens Kew"/>
  </r>
  <r>
    <s v="16/1145/FUL"/>
    <s v="CON"/>
    <m/>
    <d v="2016-12-15T00:00:00"/>
    <d v="2019-12-15T00:00:00"/>
    <d v="2019-02-01T00:00:00"/>
    <m/>
    <x v="1"/>
    <s v="Open Market"/>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s v="Hampton Wick"/>
    <x v="0"/>
    <m/>
    <x v="0"/>
    <x v="0"/>
    <m/>
    <m/>
    <m/>
    <s v="Conservation Area"/>
    <s v="CA18 Hampton Wick"/>
  </r>
  <r>
    <s v="16/1373/FUL"/>
    <s v="CHU"/>
    <m/>
    <d v="2016-09-19T00:00:00"/>
    <d v="2019-09-19T00:00:00"/>
    <d v="2017-11-24T00:00:00"/>
    <m/>
    <x v="1"/>
    <s v="Open Market"/>
    <m/>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s v="South Richmond"/>
    <x v="0"/>
    <s v="Richmond"/>
    <x v="0"/>
    <x v="0"/>
    <m/>
    <m/>
    <m/>
    <s v="Conservation Area"/>
    <s v="CA3 Richmond Green"/>
  </r>
  <r>
    <s v="16/1882/FUL"/>
    <s v="NEW"/>
    <m/>
    <d v="2017-05-30T00:00:00"/>
    <d v="2020-05-30T00:00:00"/>
    <d v="2019-04-01T00:00:00"/>
    <m/>
    <x v="1"/>
    <s v="Open Market"/>
    <m/>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s v="Barnes"/>
    <x v="0"/>
    <m/>
    <x v="0"/>
    <x v="0"/>
    <m/>
    <m/>
    <m/>
    <m/>
    <m/>
  </r>
  <r>
    <s v="16/1903/FUL"/>
    <s v="CHU"/>
    <m/>
    <d v="2016-11-15T00:00:00"/>
    <d v="2020-11-01T00:00:00"/>
    <d v="2019-01-14T00:00:00"/>
    <d v="2020-05-18T00:00:00"/>
    <x v="1"/>
    <s v="Open Market"/>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s v="Kew"/>
    <x v="0"/>
    <m/>
    <x v="1"/>
    <x v="0"/>
    <m/>
    <m/>
    <m/>
    <s v="Conservation Area"/>
    <s v="CA2 Kew Green"/>
  </r>
  <r>
    <s v="16/2306/FUL"/>
    <s v="CON"/>
    <m/>
    <d v="2016-08-17T00:00:00"/>
    <d v="2019-08-17T00:00:00"/>
    <d v="2019-01-14T00:00:00"/>
    <m/>
    <x v="1"/>
    <s v="Open Market"/>
    <m/>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s v="Ham, Petersham and Richmond Riverside"/>
    <x v="0"/>
    <m/>
    <x v="1"/>
    <x v="0"/>
    <m/>
    <m/>
    <m/>
    <s v="Conservation Area"/>
    <s v="CA5 Richmond Hill"/>
  </r>
  <r>
    <s v="16/2637/FUL"/>
    <s v="NEW"/>
    <m/>
    <d v="2017-03-07T00:00:00"/>
    <d v="2020-03-07T00:00:00"/>
    <d v="2017-05-10T00:00:00"/>
    <m/>
    <x v="1"/>
    <s v="Open Market"/>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s v="Barnes"/>
    <x v="0"/>
    <m/>
    <x v="0"/>
    <x v="0"/>
    <m/>
    <m/>
    <m/>
    <m/>
    <m/>
  </r>
  <r>
    <s v="16/2647/FUL"/>
    <s v="NEW"/>
    <m/>
    <d v="2017-10-10T00:00:00"/>
    <d v="2020-10-10T00:00:00"/>
    <d v="2019-12-02T00:00:00"/>
    <m/>
    <x v="1"/>
    <s v="Intermediate"/>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s v="Teddington"/>
    <x v="0"/>
    <s v="Teddington"/>
    <x v="0"/>
    <x v="0"/>
    <m/>
    <m/>
    <m/>
    <m/>
    <m/>
  </r>
  <r>
    <s v="16/2709/FUL"/>
    <s v="NEW"/>
    <m/>
    <d v="2017-04-10T00:00:00"/>
    <d v="2020-04-10T00:00:00"/>
    <d v="2020-03-22T00:00:00"/>
    <m/>
    <x v="1"/>
    <s v="Open Market"/>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s v="Barnes"/>
    <x v="1"/>
    <m/>
    <x v="0"/>
    <x v="0"/>
    <m/>
    <m/>
    <m/>
    <m/>
    <m/>
  </r>
  <r>
    <s v="16/3293/RES"/>
    <s v="NEW"/>
    <m/>
    <d v="2016-11-03T00:00:00"/>
    <d v="2019-11-03T00:00:00"/>
    <d v="2017-03-13T00:00:00"/>
    <m/>
    <x v="1"/>
    <s v="Affordable Ren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s v="St. Margarets and North Twickenham"/>
    <x v="0"/>
    <m/>
    <x v="0"/>
    <x v="0"/>
    <m/>
    <m/>
    <m/>
    <m/>
    <m/>
  </r>
  <r>
    <s v="16/3293/RES"/>
    <s v="NEW"/>
    <m/>
    <d v="2016-11-03T00:00:00"/>
    <d v="2019-11-03T00:00:00"/>
    <d v="2017-03-13T00:00:00"/>
    <m/>
    <x v="1"/>
    <s v="Open Market"/>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s v="St. Margarets and North Twickenham"/>
    <x v="0"/>
    <m/>
    <x v="0"/>
    <x v="0"/>
    <m/>
    <m/>
    <m/>
    <m/>
    <m/>
  </r>
  <r>
    <s v="16/3293/RES"/>
    <s v="NEW"/>
    <m/>
    <d v="2016-11-03T00:00:00"/>
    <d v="2019-11-03T00:00:00"/>
    <d v="2017-03-13T00:00:00"/>
    <m/>
    <x v="1"/>
    <s v="Intermediate"/>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s v="St. Margarets and North Twickenham"/>
    <x v="0"/>
    <m/>
    <x v="0"/>
    <x v="0"/>
    <m/>
    <m/>
    <m/>
    <m/>
    <m/>
  </r>
  <r>
    <s v="16/3450/FUL"/>
    <s v="NEW"/>
    <m/>
    <d v="2017-10-16T00:00:00"/>
    <d v="2020-10-16T00:00:00"/>
    <d v="2018-09-03T00:00:00"/>
    <d v="2020-09-09T00:00:00"/>
    <x v="1"/>
    <s v="Open Market"/>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s v="South Twickenham"/>
    <x v="0"/>
    <s v="Twickenham"/>
    <x v="0"/>
    <x v="0"/>
    <m/>
    <m/>
    <m/>
    <m/>
    <m/>
  </r>
  <r>
    <s v="16/3506/FUL"/>
    <s v="NEW"/>
    <m/>
    <d v="2018-10-11T00:00:00"/>
    <d v="2021-10-11T00:00:00"/>
    <d v="2019-10-14T00:00:00"/>
    <m/>
    <x v="1"/>
    <s v="Affordable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s v="Whitton"/>
    <x v="0"/>
    <m/>
    <x v="0"/>
    <x v="0"/>
    <m/>
    <m/>
    <m/>
    <m/>
    <m/>
  </r>
  <r>
    <s v="16/3506/FUL"/>
    <s v="NEW"/>
    <m/>
    <d v="2018-10-11T00:00:00"/>
    <d v="2021-10-11T00:00:00"/>
    <d v="2019-10-14T00:00:00"/>
    <m/>
    <x v="1"/>
    <s v="Intermediate"/>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s v="Whitton"/>
    <x v="0"/>
    <m/>
    <x v="0"/>
    <x v="0"/>
    <m/>
    <m/>
    <m/>
    <m/>
    <m/>
  </r>
  <r>
    <s v="16/3506/FUL"/>
    <s v="NEW"/>
    <m/>
    <d v="2018-10-11T00:00:00"/>
    <d v="2021-10-11T00:00:00"/>
    <d v="2019-10-14T00:00:00"/>
    <m/>
    <x v="1"/>
    <s v="Social Rent"/>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s v="Whitton"/>
    <x v="0"/>
    <m/>
    <x v="0"/>
    <x v="0"/>
    <m/>
    <m/>
    <m/>
    <m/>
    <m/>
  </r>
  <r>
    <s v="16/3552/FUL"/>
    <s v="MIX"/>
    <m/>
    <d v="2018-04-24T00:00:00"/>
    <d v="2021-04-24T00:00:00"/>
    <d v="2018-04-25T00:00:00"/>
    <m/>
    <x v="1"/>
    <s v="Open Market"/>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s v="Ham, Petersham and Richmond Riverside"/>
    <x v="0"/>
    <m/>
    <x v="0"/>
    <x v="0"/>
    <m/>
    <m/>
    <m/>
    <s v="Conservation Area"/>
    <s v="CA7 Ham Common"/>
  </r>
  <r>
    <s v="16/3625/FUL"/>
    <s v="NEW"/>
    <m/>
    <d v="2017-11-30T00:00:00"/>
    <d v="2020-11-30T00:00:00"/>
    <d v="2018-09-01T00:00:00"/>
    <m/>
    <x v="1"/>
    <s v="Open Market"/>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s v="Twickenham Riverside"/>
    <x v="0"/>
    <s v="Twickenham"/>
    <x v="0"/>
    <x v="0"/>
    <m/>
    <m/>
    <m/>
    <m/>
    <m/>
  </r>
  <r>
    <s v="16/3961/FUL"/>
    <s v="NEW"/>
    <m/>
    <d v="2017-02-20T00:00:00"/>
    <d v="2020-08-10T00:00:00"/>
    <d v="2019-01-14T00:00:00"/>
    <m/>
    <x v="1"/>
    <s v="Open Market"/>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s v="Mortlake and Barnes Common"/>
    <x v="0"/>
    <m/>
    <x v="0"/>
    <x v="1"/>
    <s v="High Street"/>
    <m/>
    <m/>
    <s v="Conservation Area"/>
    <s v="CA1 Barnes Green"/>
  </r>
  <r>
    <s v="16/4127/FUL"/>
    <s v="CON"/>
    <m/>
    <d v="2017-12-04T00:00:00"/>
    <d v="2021-01-30T00:00:00"/>
    <d v="2019-03-01T00:00:00"/>
    <m/>
    <x v="1"/>
    <s v="Open Market"/>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s v="Teddington"/>
    <x v="0"/>
    <m/>
    <x v="1"/>
    <x v="0"/>
    <m/>
    <m/>
    <m/>
    <s v="Conservation Area"/>
    <s v="CA27 Teddington Lock"/>
  </r>
  <r>
    <s v="16/4405/FUL"/>
    <s v="NEW"/>
    <m/>
    <d v="2017-03-27T00:00:00"/>
    <d v="2020-03-27T00:00:00"/>
    <d v="2017-09-01T00:00:00"/>
    <m/>
    <x v="1"/>
    <s v="Open Market"/>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s v="West Twickenham"/>
    <x v="0"/>
    <m/>
    <x v="0"/>
    <x v="0"/>
    <m/>
    <m/>
    <m/>
    <m/>
    <m/>
  </r>
  <r>
    <s v="16/4635/FUL"/>
    <s v="NEW"/>
    <m/>
    <d v="2017-03-07T00:00:00"/>
    <d v="2020-03-07T00:00:00"/>
    <d v="2020-03-01T00:00:00"/>
    <m/>
    <x v="1"/>
    <s v="Open Market"/>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s v="Whitton"/>
    <x v="0"/>
    <m/>
    <x v="0"/>
    <x v="0"/>
    <m/>
    <m/>
    <m/>
    <m/>
    <m/>
  </r>
  <r>
    <s v="16/4772/GPD15"/>
    <s v="CHU"/>
    <s v="PA"/>
    <d v="2017-02-24T00:00:00"/>
    <d v="2020-12-21T00:00:00"/>
    <d v="2019-10-07T00:00:00"/>
    <m/>
    <x v="1"/>
    <s v="Open Market"/>
    <m/>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s v="Twickenham Riverside"/>
    <x v="0"/>
    <s v="Twickenham"/>
    <x v="0"/>
    <x v="0"/>
    <m/>
    <m/>
    <m/>
    <m/>
    <m/>
  </r>
  <r>
    <s v="16/4890/FUL"/>
    <s v="NEW"/>
    <m/>
    <d v="2017-09-08T00:00:00"/>
    <d v="2020-09-08T00:00:00"/>
    <d v="2019-03-30T00:00:00"/>
    <m/>
    <x v="1"/>
    <s v="Open Market"/>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s v="Kew"/>
    <x v="0"/>
    <m/>
    <x v="0"/>
    <x v="0"/>
    <m/>
    <m/>
    <m/>
    <m/>
    <m/>
  </r>
  <r>
    <s v="16/4902/FUL"/>
    <s v="NEW"/>
    <m/>
    <d v="2017-06-22T00:00:00"/>
    <d v="2021-11-12T00:00:00"/>
    <d v="2019-10-09T00:00:00"/>
    <m/>
    <x v="1"/>
    <s v="Open Market"/>
    <m/>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s v="South Richmond"/>
    <x v="0"/>
    <m/>
    <x v="0"/>
    <x v="0"/>
    <m/>
    <m/>
    <m/>
    <s v="Conservation Area"/>
    <s v="CA31 Sheen Road Richmond"/>
  </r>
  <r>
    <s v="17/0323/FUL"/>
    <s v="NEW"/>
    <m/>
    <d v="2018-03-22T00:00:00"/>
    <d v="2021-03-23T00:00:00"/>
    <d v="2020-03-31T00:00:00"/>
    <m/>
    <x v="1"/>
    <s v="Open Market"/>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s v="Fulwell and Hampton Hill"/>
    <x v="0"/>
    <m/>
    <x v="0"/>
    <x v="0"/>
    <m/>
    <m/>
    <m/>
    <m/>
    <m/>
  </r>
  <r>
    <s v="17/0330/FUL"/>
    <s v="NEW"/>
    <m/>
    <d v="2017-08-07T00:00:00"/>
    <d v="2020-08-07T00:00:00"/>
    <d v="2018-03-20T00:00:00"/>
    <m/>
    <x v="1"/>
    <s v="Open Market"/>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s v="Hampton Wick"/>
    <x v="1"/>
    <m/>
    <x v="0"/>
    <x v="0"/>
    <m/>
    <m/>
    <m/>
    <m/>
    <m/>
  </r>
  <r>
    <s v="17/1285/GPD15"/>
    <s v="CHU"/>
    <s v="PA"/>
    <d v="2017-05-26T00:00:00"/>
    <d v="2021-12-08T00:00:00"/>
    <d v="2020-01-13T00:00:00"/>
    <m/>
    <x v="1"/>
    <s v="Open Market"/>
    <m/>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s v="Kew"/>
    <x v="0"/>
    <m/>
    <x v="0"/>
    <x v="0"/>
    <m/>
    <m/>
    <m/>
    <s v="Conservation Area"/>
    <s v="CA15 Kew Gardens Kew"/>
  </r>
  <r>
    <s v="17/1286/VRC"/>
    <s v="NEW"/>
    <m/>
    <d v="2017-10-05T00:00:00"/>
    <d v="2017-12-09T00:00:00"/>
    <d v="2017-10-05T00:00:00"/>
    <d v="2020-05-15T00:00:00"/>
    <x v="1"/>
    <s v="Open Market"/>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s v="Teddington"/>
    <x v="0"/>
    <m/>
    <x v="1"/>
    <x v="0"/>
    <m/>
    <m/>
    <m/>
    <m/>
    <m/>
  </r>
  <r>
    <s v="17/1453/FUL"/>
    <s v="CHU"/>
    <m/>
    <d v="2018-04-24T00:00:00"/>
    <d v="2021-04-24T00:00:00"/>
    <d v="2019-10-03T00:00:00"/>
    <m/>
    <x v="1"/>
    <s v="Open Market"/>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s v="South Twickenham"/>
    <x v="0"/>
    <m/>
    <x v="0"/>
    <x v="0"/>
    <m/>
    <m/>
    <m/>
    <m/>
    <m/>
  </r>
  <r>
    <s v="17/1937/FUL"/>
    <s v="CHU"/>
    <m/>
    <d v="2018-09-13T00:00:00"/>
    <d v="2021-09-13T00:00:00"/>
    <d v="2019-10-01T00:00:00"/>
    <m/>
    <x v="1"/>
    <s v="Open Market"/>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s v="South Twickenham"/>
    <x v="0"/>
    <s v="Twickenham"/>
    <x v="0"/>
    <x v="0"/>
    <m/>
    <m/>
    <m/>
    <m/>
    <m/>
  </r>
  <r>
    <s v="17/1996/FUL"/>
    <s v="NEW"/>
    <m/>
    <d v="2017-11-28T00:00:00"/>
    <d v="2020-11-28T00:00:00"/>
    <d v="2019-02-01T00:00:00"/>
    <m/>
    <x v="1"/>
    <s v="Open Market"/>
    <m/>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s v="North Richmond"/>
    <x v="0"/>
    <m/>
    <x v="0"/>
    <x v="0"/>
    <m/>
    <m/>
    <m/>
    <m/>
    <m/>
  </r>
  <r>
    <s v="17/2488/FUL"/>
    <s v="NEW"/>
    <m/>
    <d v="2017-08-25T00:00:00"/>
    <d v="2021-04-06T00:00:00"/>
    <d v="2018-12-01T00:00:00"/>
    <m/>
    <x v="1"/>
    <s v="Open Market"/>
    <m/>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s v="East Sheen"/>
    <x v="0"/>
    <m/>
    <x v="0"/>
    <x v="0"/>
    <m/>
    <m/>
    <m/>
    <s v="Conservation Area"/>
    <s v="CA13 Christchurch Road East Sheen"/>
  </r>
  <r>
    <s v="17/2769/FUL"/>
    <s v="NEW"/>
    <m/>
    <d v="2018-04-13T00:00:00"/>
    <d v="2021-04-13T00:00:00"/>
    <d v="2018-11-30T00:00:00"/>
    <m/>
    <x v="1"/>
    <s v="Open Market"/>
    <m/>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s v="Ham, Petersham and Richmond Riverside"/>
    <x v="0"/>
    <m/>
    <x v="0"/>
    <x v="0"/>
    <m/>
    <m/>
    <m/>
    <m/>
    <m/>
  </r>
  <r>
    <s v="17/2939/FUL"/>
    <s v="CHU"/>
    <m/>
    <d v="2017-11-09T00:00:00"/>
    <d v="2020-11-09T00:00:00"/>
    <d v="2018-09-04T00:00:00"/>
    <m/>
    <x v="1"/>
    <s v="Open Market"/>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s v="Mortlake and Barnes Common"/>
    <x v="0"/>
    <m/>
    <x v="0"/>
    <x v="1"/>
    <s v="White Hart lane"/>
    <m/>
    <m/>
    <m/>
    <m/>
  </r>
  <r>
    <s v="17/3667/FUL"/>
    <s v="NEW"/>
    <m/>
    <d v="2018-04-25T00:00:00"/>
    <d v="2021-04-25T00:00:00"/>
    <d v="2020-03-02T00:00:00"/>
    <m/>
    <x v="1"/>
    <s v="Open Market"/>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s v="Ham, Petersham and Richmond Riverside"/>
    <x v="0"/>
    <m/>
    <x v="1"/>
    <x v="0"/>
    <m/>
    <m/>
    <s v="Petersham Lodge"/>
    <s v="Conservation Area"/>
    <s v="CA6 Petersham"/>
  </r>
  <r>
    <s v="17/4268/FUL"/>
    <s v="NEW"/>
    <m/>
    <d v="2018-05-09T00:00:00"/>
    <d v="2021-05-09T00:00:00"/>
    <d v="2019-03-01T00:00:00"/>
    <m/>
    <x v="1"/>
    <s v="Open Market"/>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s v="Barnes"/>
    <x v="0"/>
    <m/>
    <x v="0"/>
    <x v="0"/>
    <m/>
    <m/>
    <m/>
    <s v="Conservation Area"/>
    <s v="CA25 Castelnau"/>
  </r>
  <r>
    <s v="17/4303/FUL"/>
    <s v="EXT"/>
    <m/>
    <d v="2018-07-20T00:00:00"/>
    <d v="2021-07-20T00:00:00"/>
    <m/>
    <d v="2020-07-07T00:00:00"/>
    <x v="1"/>
    <s v="Open Market"/>
    <m/>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s v="Fulwell and Hampton Hill"/>
    <x v="0"/>
    <m/>
    <x v="0"/>
    <x v="0"/>
    <m/>
    <m/>
    <m/>
    <m/>
    <m/>
  </r>
  <r>
    <s v="17/4368/FUL"/>
    <s v="MIX"/>
    <m/>
    <d v="2019-03-06T00:00:00"/>
    <d v="2022-03-07T00:00:00"/>
    <d v="2019-09-02T00:00:00"/>
    <m/>
    <x v="1"/>
    <s v="Open Market"/>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s v="Hampton North"/>
    <x v="0"/>
    <m/>
    <x v="0"/>
    <x v="0"/>
    <m/>
    <m/>
    <m/>
    <m/>
    <m/>
  </r>
  <r>
    <s v="17/4517/VRC"/>
    <s v="NEW"/>
    <m/>
    <d v="2018-02-26T00:00:00"/>
    <d v="2021-02-26T00:00:00"/>
    <d v="2019-03-01T00:00:00"/>
    <d v="2020-08-13T00:00:00"/>
    <x v="1"/>
    <s v="Open Market"/>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s v="East Sheen"/>
    <x v="0"/>
    <m/>
    <x v="0"/>
    <x v="0"/>
    <m/>
    <m/>
    <m/>
    <m/>
    <m/>
  </r>
  <r>
    <s v="18/0111/FUL"/>
    <s v="NEW"/>
    <m/>
    <d v="2018-06-27T00:00:00"/>
    <d v="2021-06-27T00:00:00"/>
    <d v="2019-06-15T00:00:00"/>
    <d v="2020-07-01T00:00:00"/>
    <x v="1"/>
    <s v="Open Market"/>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s v="West Twickenham"/>
    <x v="0"/>
    <m/>
    <x v="0"/>
    <x v="0"/>
    <m/>
    <m/>
    <m/>
    <m/>
    <m/>
  </r>
  <r>
    <s v="18/0216/FUL"/>
    <s v="CON"/>
    <m/>
    <d v="2018-12-05T00:00:00"/>
    <d v="2021-12-05T00:00:00"/>
    <d v="2019-11-11T00:00:00"/>
    <m/>
    <x v="1"/>
    <s v="Open Market"/>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s v="East Sheen"/>
    <x v="0"/>
    <s v="East Sheen"/>
    <x v="0"/>
    <x v="0"/>
    <m/>
    <m/>
    <m/>
    <m/>
    <m/>
  </r>
  <r>
    <s v="18/0282/FUL"/>
    <s v="NEW"/>
    <m/>
    <d v="2018-04-03T00:00:00"/>
    <d v="2021-04-03T00:00:00"/>
    <d v="2019-03-01T00:00:00"/>
    <m/>
    <x v="1"/>
    <s v="Open Market"/>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s v="Mortlake and Barnes Common"/>
    <x v="0"/>
    <m/>
    <x v="0"/>
    <x v="0"/>
    <m/>
    <m/>
    <m/>
    <m/>
    <m/>
  </r>
  <r>
    <s v="18/0449/FUL"/>
    <s v="CON"/>
    <m/>
    <d v="2018-09-07T00:00:00"/>
    <d v="2021-09-07T00:00:00"/>
    <d v="2018-11-01T00:00:00"/>
    <m/>
    <x v="1"/>
    <s v="Open Market"/>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s v="Hampton"/>
    <x v="0"/>
    <m/>
    <x v="0"/>
    <x v="0"/>
    <m/>
    <m/>
    <m/>
    <s v="Conservation Area"/>
    <s v="CA11 Hampton Court Green"/>
  </r>
  <r>
    <s v="18/0692/FUL"/>
    <s v="NEW"/>
    <m/>
    <d v="2018-08-17T00:00:00"/>
    <d v="2021-08-17T00:00:00"/>
    <d v="2019-08-12T00:00:00"/>
    <m/>
    <x v="1"/>
    <s v="Open Market"/>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s v="Hampton"/>
    <x v="1"/>
    <m/>
    <x v="0"/>
    <x v="0"/>
    <m/>
    <m/>
    <m/>
    <m/>
    <m/>
  </r>
  <r>
    <s v="18/0771/FUL"/>
    <s v="NEW"/>
    <m/>
    <d v="2018-06-21T00:00:00"/>
    <d v="2021-06-21T00:00:00"/>
    <d v="2018-12-01T00:00:00"/>
    <m/>
    <x v="1"/>
    <s v="Open Market"/>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s v="Hampton North"/>
    <x v="0"/>
    <m/>
    <x v="0"/>
    <x v="0"/>
    <m/>
    <m/>
    <m/>
    <m/>
    <m/>
  </r>
  <r>
    <s v="18/0929/FUL"/>
    <s v="MIX"/>
    <m/>
    <d v="2018-11-07T00:00:00"/>
    <d v="2021-11-07T00:00:00"/>
    <d v="2018-12-03T00:00:00"/>
    <d v="2020-06-12T00:00:00"/>
    <x v="1"/>
    <s v="Open Market"/>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s v="Fulwell and Hampton Hill"/>
    <x v="0"/>
    <m/>
    <x v="0"/>
    <x v="1"/>
    <s v="High Street"/>
    <m/>
    <m/>
    <m/>
    <m/>
  </r>
  <r>
    <s v="18/0946/FUL"/>
    <s v="CHU"/>
    <m/>
    <d v="2018-06-04T00:00:00"/>
    <d v="2021-06-04T00:00:00"/>
    <d v="2020-01-13T00:00:00"/>
    <m/>
    <x v="1"/>
    <s v="Open Market"/>
    <m/>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s v="Kew"/>
    <x v="0"/>
    <m/>
    <x v="0"/>
    <x v="0"/>
    <m/>
    <m/>
    <m/>
    <s v="Conservation Area"/>
    <s v="CA15 Kew Gardens Kew"/>
  </r>
  <r>
    <s v="18/1619/FUL"/>
    <s v="EXT"/>
    <m/>
    <d v="2019-05-28T00:00:00"/>
    <d v="2022-05-28T00:00:00"/>
    <d v="2019-08-07T00:00:00"/>
    <d v="2020-05-12T00:00:00"/>
    <x v="1"/>
    <s v="Open Market"/>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s v="East Sheen"/>
    <x v="0"/>
    <s v="East Sheen"/>
    <x v="0"/>
    <x v="0"/>
    <m/>
    <m/>
    <m/>
    <s v="Conservation Area"/>
    <s v="CA70 Sheen Lane Mortlake"/>
  </r>
  <r>
    <s v="18/1767/FUL"/>
    <s v="CHU"/>
    <m/>
    <d v="2019-01-11T00:00:00"/>
    <d v="2022-01-11T00:00:00"/>
    <d v="2019-03-01T00:00:00"/>
    <d v="2020-05-11T00:00:00"/>
    <x v="1"/>
    <s v="Open Market"/>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s v="Fulwell and Hampton Hill"/>
    <x v="0"/>
    <m/>
    <x v="0"/>
    <x v="1"/>
    <s v="High Street"/>
    <m/>
    <m/>
    <s v="Conservation Area"/>
    <s v="CA38 High Street Hampton Hill"/>
  </r>
  <r>
    <s v="18/1808/FUL"/>
    <s v="NEW"/>
    <m/>
    <d v="2018-11-19T00:00:00"/>
    <d v="2021-11-19T00:00:00"/>
    <d v="2019-10-16T00:00:00"/>
    <m/>
    <x v="1"/>
    <s v="Open Market"/>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s v="Teddington"/>
    <x v="0"/>
    <m/>
    <x v="0"/>
    <x v="0"/>
    <m/>
    <m/>
    <m/>
    <m/>
    <m/>
  </r>
  <r>
    <s v="18/2114/FUL"/>
    <s v="CHU"/>
    <m/>
    <d v="2018-12-20T00:00:00"/>
    <d v="2021-12-20T00:00:00"/>
    <d v="2019-02-01T00:00:00"/>
    <d v="2020-05-04T00:00:00"/>
    <x v="1"/>
    <s v="Open Market"/>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s v="Mortlake and Barnes Common"/>
    <x v="0"/>
    <m/>
    <x v="0"/>
    <x v="1"/>
    <s v="High Street"/>
    <m/>
    <m/>
    <s v="Conservation Area"/>
    <s v="CA1 Barnes Green"/>
  </r>
  <r>
    <s v="18/2235/VRC"/>
    <s v="CHU"/>
    <m/>
    <d v="2018-09-25T00:00:00"/>
    <d v="2021-09-25T00:00:00"/>
    <d v="2019-10-01T00:00:00"/>
    <m/>
    <x v="1"/>
    <s v="Open Market"/>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s v="Hampton"/>
    <x v="0"/>
    <m/>
    <x v="0"/>
    <x v="1"/>
    <s v="Thames Street"/>
    <m/>
    <m/>
    <s v="Conservation Area"/>
    <s v="CA12 Hampton Village"/>
  </r>
  <r>
    <s v="18/2322/FUL"/>
    <s v="CHU"/>
    <m/>
    <d v="2018-11-13T00:00:00"/>
    <d v="2022-05-30T00:00:00"/>
    <d v="2020-01-13T00:00:00"/>
    <m/>
    <x v="1"/>
    <s v="Open Market"/>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s v="Kew"/>
    <x v="0"/>
    <m/>
    <x v="0"/>
    <x v="0"/>
    <m/>
    <m/>
    <m/>
    <s v="Conservation Area"/>
    <s v="CA15 Kew Gardens Kew"/>
  </r>
  <r>
    <s v="18/2494/FUL"/>
    <s v="NEW"/>
    <m/>
    <d v="2019-03-22T00:00:00"/>
    <d v="2022-03-22T00:00:00"/>
    <d v="2020-01-29T00:00:00"/>
    <m/>
    <x v="1"/>
    <s v="Open Market"/>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s v="East Sheen"/>
    <x v="1"/>
    <m/>
    <x v="0"/>
    <x v="0"/>
    <m/>
    <m/>
    <m/>
    <m/>
    <m/>
  </r>
  <r>
    <s v="18/2928/FUL"/>
    <s v="CHU"/>
    <m/>
    <d v="2019-03-08T00:00:00"/>
    <d v="2022-03-08T00:00:00"/>
    <d v="2019-03-29T00:00:00"/>
    <m/>
    <x v="1"/>
    <s v="Open Market"/>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s v="Teddington"/>
    <x v="0"/>
    <s v="Teddington"/>
    <x v="0"/>
    <x v="0"/>
    <m/>
    <m/>
    <m/>
    <s v="Conservation Area"/>
    <s v="CA37 High Street Teddington"/>
  </r>
  <r>
    <s v="18/3515/FUL"/>
    <s v="CON"/>
    <m/>
    <d v="2019-02-18T00:00:00"/>
    <d v="2022-02-18T00:00:00"/>
    <d v="2019-10-01T00:00:00"/>
    <d v="2020-08-13T00:00:00"/>
    <x v="1"/>
    <s v="Open Market"/>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s v="East Sheen"/>
    <x v="0"/>
    <s v="East Sheen"/>
    <x v="0"/>
    <x v="0"/>
    <m/>
    <m/>
    <m/>
    <m/>
    <m/>
  </r>
  <r>
    <s v="18/3768/FUL"/>
    <s v="CHU"/>
    <m/>
    <d v="2019-03-26T00:00:00"/>
    <d v="2022-03-26T00:00:00"/>
    <d v="2020-01-13T00:00:00"/>
    <m/>
    <x v="1"/>
    <s v="Open Market"/>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s v="Hampton"/>
    <x v="0"/>
    <m/>
    <x v="0"/>
    <x v="0"/>
    <m/>
    <m/>
    <m/>
    <m/>
    <m/>
  </r>
  <r>
    <s v="18/3804/FUL"/>
    <s v="NEW"/>
    <m/>
    <d v="2019-05-14T00:00:00"/>
    <d v="2022-05-14T00:00:00"/>
    <d v="2019-10-17T00:00:00"/>
    <m/>
    <x v="1"/>
    <s v="Open Market"/>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s v="Hampton"/>
    <x v="0"/>
    <m/>
    <x v="0"/>
    <x v="1"/>
    <s v="Station Road West"/>
    <m/>
    <m/>
    <m/>
    <m/>
  </r>
  <r>
    <s v="18/3815/GPD15"/>
    <s v="CHU"/>
    <s v="PA"/>
    <d v="2019-01-18T00:00:00"/>
    <d v="2022-01-18T00:00:00"/>
    <d v="2019-11-15T00:00:00"/>
    <m/>
    <x v="1"/>
    <s v="Open Market"/>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s v="Hampton Wick"/>
    <x v="0"/>
    <m/>
    <x v="0"/>
    <x v="1"/>
    <s v="Hampton Wick"/>
    <m/>
    <m/>
    <s v="Conservation Area"/>
    <s v="CA18 Hampton Wick"/>
  </r>
  <r>
    <s v="18/3941/GPD15"/>
    <s v="CHU"/>
    <s v="PA"/>
    <d v="2019-01-30T00:00:00"/>
    <d v="2022-01-30T00:00:00"/>
    <d v="2019-09-14T00:00:00"/>
    <d v="2020-09-02T00:00:00"/>
    <x v="1"/>
    <s v="Open Market"/>
    <m/>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s v="Kew"/>
    <x v="0"/>
    <m/>
    <x v="0"/>
    <x v="0"/>
    <m/>
    <m/>
    <m/>
    <s v="Conservation Area"/>
    <s v="CA2 Kew Green"/>
  </r>
  <r>
    <s v="19/0092/FUL"/>
    <s v="MIX"/>
    <m/>
    <d v="2019-07-03T00:00:00"/>
    <d v="2022-07-03T00:00:00"/>
    <d v="2019-08-14T00:00:00"/>
    <d v="2020-09-15T00:00:00"/>
    <x v="1"/>
    <s v="Open Market"/>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s v="Whitton"/>
    <x v="0"/>
    <m/>
    <x v="0"/>
    <x v="0"/>
    <m/>
    <m/>
    <m/>
    <m/>
    <m/>
  </r>
  <r>
    <s v="19/0111/FUL"/>
    <s v="MIX"/>
    <m/>
    <d v="2019-12-12T00:00:00"/>
    <d v="2022-12-12T00:00:00"/>
    <d v="2020-03-30T00:00:00"/>
    <m/>
    <x v="1"/>
    <s v="Open Market"/>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s v="Hampton Wick"/>
    <x v="0"/>
    <m/>
    <x v="0"/>
    <x v="0"/>
    <m/>
    <m/>
    <m/>
    <s v="Conservation Area"/>
    <s v="CA18 Hampton Wick"/>
  </r>
  <r>
    <s v="19/0181/GPD15"/>
    <s v="CHU"/>
    <s v="PA"/>
    <d v="2019-03-06T00:00:00"/>
    <d v="2022-03-06T00:00:00"/>
    <d v="2019-05-13T00:00:00"/>
    <d v="2020-07-02T00:00:00"/>
    <x v="1"/>
    <s v="Open Market"/>
    <m/>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s v="East Sheen"/>
    <x v="0"/>
    <s v="East Sheen"/>
    <x v="0"/>
    <x v="0"/>
    <m/>
    <m/>
    <m/>
    <m/>
    <m/>
  </r>
  <r>
    <s v="19/0347/GPD15"/>
    <s v="CHU"/>
    <s v="PA"/>
    <d v="2019-03-12T00:00:00"/>
    <d v="2022-03-13T00:00:00"/>
    <d v="2019-04-01T00:00:00"/>
    <m/>
    <x v="1"/>
    <s v="Open Market"/>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s v="South Twickenham"/>
    <x v="0"/>
    <m/>
    <x v="0"/>
    <x v="0"/>
    <m/>
    <m/>
    <m/>
    <m/>
    <m/>
  </r>
  <r>
    <s v="19/0386/FUL"/>
    <s v="NEW"/>
    <m/>
    <d v="2019-07-05T00:00:00"/>
    <d v="2022-07-05T00:00:00"/>
    <d v="2020-01-06T00:00:00"/>
    <m/>
    <x v="1"/>
    <s v="Open Market"/>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s v="Whitton"/>
    <x v="0"/>
    <m/>
    <x v="0"/>
    <x v="0"/>
    <m/>
    <m/>
    <m/>
    <m/>
    <m/>
  </r>
  <r>
    <s v="19/0551/FUL"/>
    <s v="CON"/>
    <m/>
    <d v="2019-08-21T00:00:00"/>
    <d v="2022-08-21T00:00:00"/>
    <d v="2019-11-04T00:00:00"/>
    <m/>
    <x v="1"/>
    <s v="Open Market"/>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s v="North Richmond"/>
    <x v="0"/>
    <m/>
    <x v="0"/>
    <x v="0"/>
    <m/>
    <m/>
    <m/>
    <m/>
    <m/>
  </r>
  <r>
    <s v="19/0772/GPD15"/>
    <s v="CHU"/>
    <s v="PA"/>
    <d v="2019-05-09T00:00:00"/>
    <d v="2022-05-09T00:00:00"/>
    <d v="2020-03-02T00:00:00"/>
    <m/>
    <x v="1"/>
    <s v="Open Market"/>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s v="West Twickenham"/>
    <x v="0"/>
    <m/>
    <x v="0"/>
    <x v="0"/>
    <m/>
    <m/>
    <m/>
    <m/>
    <m/>
  </r>
  <r>
    <s v="19/0867/FUL"/>
    <s v="MIX"/>
    <m/>
    <d v="2019-06-03T00:00:00"/>
    <d v="2022-06-04T00:00:00"/>
    <d v="2019-09-23T00:00:00"/>
    <d v="2020-06-04T00:00:00"/>
    <x v="1"/>
    <s v="Open Market"/>
    <m/>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s v="St. Margarets and North Twickenham"/>
    <x v="0"/>
    <m/>
    <x v="0"/>
    <x v="0"/>
    <m/>
    <m/>
    <m/>
    <m/>
    <m/>
  </r>
  <r>
    <s v="19/0893/FUL"/>
    <s v="CHU"/>
    <m/>
    <d v="2019-08-12T00:00:00"/>
    <d v="2022-08-12T00:00:00"/>
    <d v="2020-02-03T00:00:00"/>
    <m/>
    <x v="1"/>
    <s v="Open Market"/>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s v="Kew"/>
    <x v="0"/>
    <m/>
    <x v="0"/>
    <x v="0"/>
    <m/>
    <m/>
    <m/>
    <s v="Conservation Area"/>
    <s v="CA2 Kew Green"/>
  </r>
  <r>
    <s v="19/0950/FUL"/>
    <s v="CHU"/>
    <m/>
    <d v="2019-08-13T00:00:00"/>
    <d v="2022-08-13T00:00:00"/>
    <d v="2020-01-28T00:00:00"/>
    <m/>
    <x v="1"/>
    <s v="Open Market"/>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s v="South Richmond"/>
    <x v="0"/>
    <s v="Richmond"/>
    <x v="0"/>
    <x v="0"/>
    <m/>
    <m/>
    <m/>
    <s v="Conservation Area"/>
    <s v="CA3 Richmond Green"/>
  </r>
  <r>
    <s v="19/0954/VRC"/>
    <s v="NEW"/>
    <m/>
    <d v="2019-10-16T00:00:00"/>
    <d v="2020-10-06T00:00:00"/>
    <d v="2019-07-24T00:00:00"/>
    <m/>
    <x v="1"/>
    <s v="Open Market"/>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s v="South Richmond"/>
    <x v="0"/>
    <m/>
    <x v="0"/>
    <x v="0"/>
    <m/>
    <m/>
    <m/>
    <s v="Conservation Area"/>
    <s v="CA30 St Matthias Richmond"/>
  </r>
  <r>
    <s v="19/0974/FUL"/>
    <s v="CON"/>
    <m/>
    <d v="2019-08-02T00:00:00"/>
    <d v="2022-08-02T00:00:00"/>
    <d v="2020-02-11T00:00:00"/>
    <m/>
    <x v="1"/>
    <s v="Open Market"/>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s v="Hampton Wick"/>
    <x v="0"/>
    <m/>
    <x v="0"/>
    <x v="1"/>
    <s v="Hampton Wick"/>
    <m/>
    <m/>
    <s v="Conservation Area"/>
    <s v="CA18 Hampton Wick"/>
  </r>
  <r>
    <s v="19/1332/GPD13"/>
    <s v="CHU"/>
    <s v="PA"/>
    <d v="2019-07-11T00:00:00"/>
    <d v="2022-07-11T00:00:00"/>
    <d v="2019-08-01T00:00:00"/>
    <d v="2020-06-05T00:00:00"/>
    <x v="1"/>
    <s v="Open Market"/>
    <m/>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s v="Whitton"/>
    <x v="0"/>
    <m/>
    <x v="0"/>
    <x v="0"/>
    <m/>
    <m/>
    <m/>
    <m/>
    <m/>
  </r>
  <r>
    <s v="19/1455/FUL"/>
    <s v="CON"/>
    <m/>
    <d v="2019-08-06T00:00:00"/>
    <d v="2022-08-06T00:00:00"/>
    <d v="2020-01-16T00:00:00"/>
    <m/>
    <x v="1"/>
    <s v="Open Market"/>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s v="East Sheen"/>
    <x v="0"/>
    <m/>
    <x v="0"/>
    <x v="0"/>
    <m/>
    <m/>
    <m/>
    <m/>
    <m/>
  </r>
  <r>
    <s v="19/1502/FUL"/>
    <s v="CHU"/>
    <m/>
    <d v="2019-07-22T00:00:00"/>
    <d v="2022-07-22T00:00:00"/>
    <d v="2019-09-19T00:00:00"/>
    <d v="2020-07-30T00:00:00"/>
    <x v="1"/>
    <s v="Open Market"/>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s v="Mortlake and Barnes Common"/>
    <x v="0"/>
    <m/>
    <x v="0"/>
    <x v="1"/>
    <s v="White Hart lane"/>
    <m/>
    <m/>
    <m/>
    <m/>
  </r>
  <r>
    <s v="19/1620/GPD15"/>
    <s v="CHU"/>
    <s v="PA"/>
    <d v="2019-07-26T00:00:00"/>
    <d v="2021-04-03T00:00:00"/>
    <m/>
    <d v="2020-04-20T00:00:00"/>
    <x v="1"/>
    <s v="Open Market"/>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s v="North Richmond"/>
    <x v="0"/>
    <m/>
    <x v="0"/>
    <x v="0"/>
    <m/>
    <m/>
    <m/>
    <m/>
    <m/>
  </r>
  <r>
    <s v="19/1622/FUL"/>
    <s v="CHU"/>
    <m/>
    <d v="2019-10-18T00:00:00"/>
    <d v="2022-10-18T00:00:00"/>
    <d v="2020-03-31T00:00:00"/>
    <m/>
    <x v="1"/>
    <s v="Open Market"/>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s v="West Twickenham"/>
    <x v="0"/>
    <m/>
    <x v="0"/>
    <x v="0"/>
    <m/>
    <m/>
    <m/>
    <m/>
    <m/>
  </r>
  <r>
    <s v="19/1978/FUL"/>
    <s v="CON"/>
    <m/>
    <d v="2019-11-11T00:00:00"/>
    <d v="2022-11-11T00:00:00"/>
    <d v="2019-11-18T00:00:00"/>
    <m/>
    <x v="1"/>
    <s v="Open Market"/>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s v="South Richmond"/>
    <x v="0"/>
    <m/>
    <x v="0"/>
    <x v="0"/>
    <m/>
    <m/>
    <m/>
    <s v="Conservation Area"/>
    <s v="CA30 St Matthias Richmond"/>
  </r>
  <r>
    <s v="19/2377/GPD15"/>
    <s v="CHU"/>
    <s v="PA"/>
    <d v="2019-09-30T00:00:00"/>
    <d v="2022-09-30T00:00:00"/>
    <d v="2020-02-17T00:00:00"/>
    <m/>
    <x v="1"/>
    <s v="Open Market"/>
    <m/>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s v="St. Margarets and North Twickenham"/>
    <x v="0"/>
    <m/>
    <x v="0"/>
    <x v="1"/>
    <s v="St Margarets"/>
    <m/>
    <m/>
    <s v="Conservation Area"/>
    <s v="CA49 Crown Road St Margarets"/>
  </r>
  <r>
    <s v="19/3852/GPD15"/>
    <s v="CHU"/>
    <s v="PA"/>
    <d v="2020-02-06T00:00:00"/>
    <d v="2023-02-06T00:00:00"/>
    <d v="2020-02-10T00:00:00"/>
    <m/>
    <x v="1"/>
    <s v="Open Market"/>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s v="Mortlake and Barnes Common"/>
    <x v="0"/>
    <m/>
    <x v="0"/>
    <x v="0"/>
    <m/>
    <m/>
    <m/>
    <m/>
    <m/>
  </r>
  <r>
    <s v="19/3913/GPD15"/>
    <s v="CHU"/>
    <s v="PA"/>
    <d v="2020-02-14T00:00:00"/>
    <d v="2020-06-30T00:00:00"/>
    <d v="2020-03-02T00:00:00"/>
    <m/>
    <x v="1"/>
    <s v="Open Market"/>
    <m/>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s v="St. Margarets and North Twickenham"/>
    <x v="0"/>
    <m/>
    <x v="0"/>
    <x v="0"/>
    <m/>
    <m/>
    <m/>
    <m/>
    <m/>
  </r>
  <r>
    <s v="19/1669/FUL"/>
    <s v="CHU"/>
    <m/>
    <d v="2019-08-23T00:00:00"/>
    <d v="2022-08-23T00:00:00"/>
    <d v="2019-11-11T00:00:00"/>
    <m/>
    <x v="1"/>
    <s v="Open Market"/>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s v="Ham, Petersham and Richmond Riverside"/>
    <x v="0"/>
    <m/>
    <x v="1"/>
    <x v="0"/>
    <m/>
    <m/>
    <m/>
    <s v="Conservation Area"/>
    <s v="CA5 Richmond Hill"/>
  </r>
  <r>
    <s v="15/2204/FUL"/>
    <s v="NEW"/>
    <m/>
    <d v="2018-07-03T00:00:00"/>
    <d v="2021-07-03T00:00:00"/>
    <m/>
    <m/>
    <x v="2"/>
    <s v="Open Market"/>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s v="Whitton"/>
    <x v="0"/>
    <m/>
    <x v="0"/>
    <x v="0"/>
    <m/>
    <m/>
    <m/>
    <m/>
    <m/>
  </r>
  <r>
    <s v="15/3296/FUL"/>
    <s v="NEW"/>
    <m/>
    <d v="2019-08-13T00:00:00"/>
    <d v="2022-08-13T00:00:00"/>
    <m/>
    <m/>
    <x v="2"/>
    <s v="Affordable Rent"/>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s v="Hampton Wick"/>
    <x v="0"/>
    <m/>
    <x v="0"/>
    <x v="0"/>
    <m/>
    <m/>
    <m/>
    <m/>
    <m/>
  </r>
  <r>
    <s v="15/3297/FUL"/>
    <s v="NEW"/>
    <m/>
    <d v="2019-08-13T00:00:00"/>
    <d v="2022-08-13T00:00:00"/>
    <m/>
    <m/>
    <x v="2"/>
    <s v="Affordable Rent"/>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s v="Hampton Wick"/>
    <x v="0"/>
    <m/>
    <x v="0"/>
    <x v="0"/>
    <m/>
    <m/>
    <m/>
    <m/>
    <m/>
  </r>
  <r>
    <s v="15/4581/FUL"/>
    <s v="NEW"/>
    <m/>
    <d v="2018-04-23T00:00:00"/>
    <d v="2021-04-23T00:00:00"/>
    <m/>
    <m/>
    <x v="2"/>
    <s v="Open Market"/>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s v="Hampton"/>
    <x v="0"/>
    <m/>
    <x v="0"/>
    <x v="0"/>
    <m/>
    <m/>
    <m/>
    <s v="Conservation Area"/>
    <s v="CA12 Hampton Village"/>
  </r>
  <r>
    <s v="15/4586/FUL"/>
    <s v="NEW"/>
    <m/>
    <d v="2017-07-11T00:00:00"/>
    <d v="2020-07-11T00:00:00"/>
    <m/>
    <m/>
    <x v="2"/>
    <s v="Open Market"/>
    <m/>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s v="South Twickenham"/>
    <x v="0"/>
    <m/>
    <x v="0"/>
    <x v="0"/>
    <m/>
    <m/>
    <m/>
    <m/>
    <m/>
  </r>
  <r>
    <s v="16/0510/FUL"/>
    <s v="CHU"/>
    <m/>
    <d v="2018-07-19T00:00:00"/>
    <d v="2021-07-19T00:00:00"/>
    <m/>
    <m/>
    <x v="2"/>
    <s v="Open Market"/>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s v="South Richmond"/>
    <x v="0"/>
    <m/>
    <x v="0"/>
    <x v="1"/>
    <s v="Sheen Road"/>
    <m/>
    <m/>
    <s v="Conservation Area"/>
    <s v="CA31 Sheen Road Richmond"/>
  </r>
  <r>
    <s v="16/0606/FUL"/>
    <s v="MIX"/>
    <m/>
    <d v="2017-09-05T00:00:00"/>
    <d v="2020-09-05T00:00:00"/>
    <m/>
    <m/>
    <x v="2"/>
    <s v="Open Market"/>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s v="Hampton"/>
    <x v="0"/>
    <m/>
    <x v="0"/>
    <x v="1"/>
    <s v="Station Road"/>
    <m/>
    <m/>
    <s v="Conservation Area"/>
    <s v="CA12 Hampton Village"/>
  </r>
  <r>
    <s v="16/0647/FUL"/>
    <s v="NEW"/>
    <m/>
    <d v="2017-05-30T00:00:00"/>
    <d v="2021-04-16T00:00:00"/>
    <m/>
    <m/>
    <x v="2"/>
    <s v="Open Market"/>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s v="Hampton Wick"/>
    <x v="0"/>
    <m/>
    <x v="0"/>
    <x v="0"/>
    <m/>
    <m/>
    <m/>
    <m/>
    <m/>
  </r>
  <r>
    <s v="16/2288/FUL"/>
    <s v="EXT"/>
    <m/>
    <d v="2018-08-22T00:00:00"/>
    <d v="2021-08-22T00:00:00"/>
    <d v="2020-09-15T00:00:00"/>
    <m/>
    <x v="2"/>
    <s v="Open Market"/>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s v="Fulwell and Hampton Hill"/>
    <x v="0"/>
    <m/>
    <x v="0"/>
    <x v="1"/>
    <s v="High Street"/>
    <m/>
    <m/>
    <m/>
    <m/>
  </r>
  <r>
    <s v="16/2704/FUL"/>
    <s v="NEW"/>
    <m/>
    <d v="2018-01-25T00:00:00"/>
    <d v="2021-01-25T00:00:00"/>
    <m/>
    <m/>
    <x v="2"/>
    <s v="Open Market"/>
    <m/>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s v="South Richmond"/>
    <x v="0"/>
    <m/>
    <x v="0"/>
    <x v="0"/>
    <m/>
    <m/>
    <m/>
    <s v="Conservation Area"/>
    <s v="CA69 Sheen Common Drive"/>
  </r>
  <r>
    <s v="16/2736/FUL"/>
    <s v="NEW"/>
    <m/>
    <d v="2017-05-26T00:00:00"/>
    <d v="2020-05-26T00:00:00"/>
    <m/>
    <m/>
    <x v="2"/>
    <s v="Open Market"/>
    <m/>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s v="Ham, Petersham and Richmond Riverside"/>
    <x v="0"/>
    <m/>
    <x v="0"/>
    <x v="0"/>
    <m/>
    <m/>
    <m/>
    <m/>
    <m/>
  </r>
  <r>
    <s v="16/2822/FUL"/>
    <s v="EXT"/>
    <m/>
    <d v="2017-05-11T00:00:00"/>
    <d v="2020-05-11T00:00:00"/>
    <m/>
    <m/>
    <x v="2"/>
    <s v="Open Market"/>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s v="West Twickenham"/>
    <x v="0"/>
    <m/>
    <x v="0"/>
    <x v="0"/>
    <m/>
    <m/>
    <m/>
    <m/>
    <m/>
  </r>
  <r>
    <s v="16/4384/FUL"/>
    <s v="NEW"/>
    <m/>
    <d v="2017-10-27T00:00:00"/>
    <d v="2020-10-27T00:00:00"/>
    <m/>
    <m/>
    <x v="2"/>
    <s v="Open Market"/>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s v="Mortlake and Barnes Common"/>
    <x v="1"/>
    <m/>
    <x v="0"/>
    <x v="0"/>
    <m/>
    <m/>
    <m/>
    <s v="Conservation Area"/>
    <s v="CA33 Mortlake"/>
  </r>
  <r>
    <s v="16/4553/FUL"/>
    <s v="NEW"/>
    <m/>
    <d v="2018-05-31T00:00:00"/>
    <d v="2021-05-31T00:00:00"/>
    <m/>
    <m/>
    <x v="2"/>
    <s v="Open Market"/>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s v="Fulwell and Hampton Hill"/>
    <x v="0"/>
    <m/>
    <x v="0"/>
    <x v="1"/>
    <s v="High Street"/>
    <m/>
    <m/>
    <s v="Conservation Area"/>
    <s v="CA38 High Street Hampton Hill"/>
  </r>
  <r>
    <s v="16/4587/FUL"/>
    <s v="CHU"/>
    <m/>
    <d v="2017-06-27T00:00:00"/>
    <d v="2020-06-27T00:00:00"/>
    <d v="2020-06-02T00:00:00"/>
    <m/>
    <x v="2"/>
    <s v="Open Market"/>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s v="East Sheen"/>
    <x v="0"/>
    <m/>
    <x v="0"/>
    <x v="0"/>
    <m/>
    <m/>
    <m/>
    <m/>
    <m/>
  </r>
  <r>
    <s v="17/0315/FUL"/>
    <s v="MIX"/>
    <m/>
    <d v="2018-06-12T00:00:00"/>
    <d v="2021-06-12T00:00:00"/>
    <m/>
    <m/>
    <x v="2"/>
    <s v="Open Market"/>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s v="Twickenham Riverside"/>
    <x v="0"/>
    <m/>
    <x v="0"/>
    <x v="1"/>
    <s v="East Twickenham"/>
    <m/>
    <m/>
    <s v="Conservation Area"/>
    <s v="CA4 Richmond Riverside"/>
  </r>
  <r>
    <s v="17/0341/GPD13"/>
    <s v="CHU"/>
    <s v="PA"/>
    <d v="2017-04-24T00:00:00"/>
    <d v="2020-04-24T00:00:00"/>
    <m/>
    <m/>
    <x v="2"/>
    <s v="Open Market"/>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s v="Teddington"/>
    <x v="0"/>
    <s v="Teddington"/>
    <x v="0"/>
    <x v="0"/>
    <m/>
    <m/>
    <m/>
    <m/>
    <m/>
  </r>
  <r>
    <s v="17/0346/FUL"/>
    <s v="CON"/>
    <m/>
    <d v="2017-08-31T00:00:00"/>
    <d v="2020-08-31T00:00:00"/>
    <m/>
    <m/>
    <x v="2"/>
    <s v="Open Market"/>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s v="North Richmond"/>
    <x v="0"/>
    <m/>
    <x v="0"/>
    <x v="0"/>
    <m/>
    <m/>
    <m/>
    <m/>
    <m/>
  </r>
  <r>
    <s v="17/0600/FUL"/>
    <s v="CHU"/>
    <m/>
    <d v="2018-01-19T00:00:00"/>
    <d v="2021-01-19T00:00:00"/>
    <m/>
    <m/>
    <x v="2"/>
    <s v="Open Market"/>
    <m/>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s v="Twickenham Riverside"/>
    <x v="0"/>
    <s v="Twickenham"/>
    <x v="0"/>
    <x v="0"/>
    <m/>
    <m/>
    <m/>
    <m/>
    <m/>
  </r>
  <r>
    <s v="17/0788/FUL"/>
    <s v="NEW"/>
    <m/>
    <d v="2017-11-17T00:00:00"/>
    <d v="2021-01-08T00:00:00"/>
    <m/>
    <m/>
    <x v="2"/>
    <s v="Open Market"/>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s v="Teddington"/>
    <x v="0"/>
    <m/>
    <x v="0"/>
    <x v="0"/>
    <m/>
    <m/>
    <m/>
    <m/>
    <m/>
  </r>
  <r>
    <s v="17/0798/FUL"/>
    <s v="NEW"/>
    <m/>
    <d v="2017-12-01T00:00:00"/>
    <d v="2020-12-01T00:00:00"/>
    <m/>
    <m/>
    <x v="2"/>
    <s v="Open Market"/>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s v="Whitton"/>
    <x v="1"/>
    <m/>
    <x v="0"/>
    <x v="0"/>
    <m/>
    <m/>
    <m/>
    <m/>
    <m/>
  </r>
  <r>
    <s v="17/1033/FUL"/>
    <s v="NEW"/>
    <m/>
    <d v="2017-09-19T00:00:00"/>
    <d v="2021-05-23T00:00:00"/>
    <m/>
    <m/>
    <x v="2"/>
    <s v="Open Market"/>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s v="South Twickenham"/>
    <x v="0"/>
    <m/>
    <x v="0"/>
    <x v="0"/>
    <m/>
    <m/>
    <m/>
    <m/>
    <m/>
  </r>
  <r>
    <s v="17/1139/GPD15"/>
    <s v="CHU"/>
    <s v="PA"/>
    <d v="2017-05-31T00:00:00"/>
    <d v="2020-05-31T00:00:00"/>
    <m/>
    <m/>
    <x v="2"/>
    <s v="Open Market"/>
    <m/>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s v="Twickenham Riverside"/>
    <x v="0"/>
    <m/>
    <x v="0"/>
    <x v="0"/>
    <m/>
    <m/>
    <m/>
    <m/>
    <m/>
  </r>
  <r>
    <s v="17/1390/FUL"/>
    <s v="NEW"/>
    <m/>
    <d v="2018-11-15T00:00:00"/>
    <d v="2022-05-14T00:00:00"/>
    <m/>
    <m/>
    <x v="2"/>
    <s v="Open Market"/>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s v="St. Margarets and North Twickenham"/>
    <x v="0"/>
    <m/>
    <x v="0"/>
    <x v="0"/>
    <m/>
    <m/>
    <m/>
    <m/>
    <m/>
  </r>
  <r>
    <s v="17/1550/FUL"/>
    <s v="NEW"/>
    <m/>
    <d v="2018-07-09T00:00:00"/>
    <d v="2021-07-09T00:00:00"/>
    <m/>
    <m/>
    <x v="2"/>
    <s v="Open Market"/>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s v="Hampton Wick"/>
    <x v="0"/>
    <m/>
    <x v="0"/>
    <x v="0"/>
    <m/>
    <m/>
    <m/>
    <s v="Conservation Area"/>
    <s v="CA18 Hampton Wick"/>
  </r>
  <r>
    <s v="17/1782/FUL"/>
    <s v="NEW"/>
    <m/>
    <d v="2019-01-14T00:00:00"/>
    <d v="2022-01-14T00:00:00"/>
    <m/>
    <m/>
    <x v="2"/>
    <s v="Open Market"/>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s v="Hampton Wick"/>
    <x v="0"/>
    <m/>
    <x v="0"/>
    <x v="0"/>
    <m/>
    <m/>
    <m/>
    <m/>
    <m/>
  </r>
  <r>
    <s v="17/2314/FUL"/>
    <s v="NEW"/>
    <m/>
    <d v="2018-04-26T00:00:00"/>
    <d v="2021-04-26T00:00:00"/>
    <m/>
    <m/>
    <x v="2"/>
    <s v="Open Market"/>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s v="Hampton North"/>
    <x v="0"/>
    <m/>
    <x v="0"/>
    <x v="0"/>
    <m/>
    <m/>
    <m/>
    <m/>
    <m/>
  </r>
  <r>
    <s v="17/2532/GPD15"/>
    <s v="CHU"/>
    <s v="PA"/>
    <d v="2017-08-09T00:00:00"/>
    <d v="2020-08-09T00:00:00"/>
    <d v="2020-06-01T00:00:00"/>
    <m/>
    <x v="2"/>
    <s v="Open Market"/>
    <m/>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s v="Kew"/>
    <x v="0"/>
    <m/>
    <x v="0"/>
    <x v="0"/>
    <m/>
    <m/>
    <m/>
    <s v="Conservation Area"/>
    <s v="CA15 Kew Gardens Kew"/>
  </r>
  <r>
    <s v="17/2586/FUL"/>
    <s v="CON"/>
    <m/>
    <d v="2017-09-27T00:00:00"/>
    <d v="2020-09-27T00:00:00"/>
    <m/>
    <m/>
    <x v="2"/>
    <s v="Open Market"/>
    <m/>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s v="East Sheen"/>
    <x v="0"/>
    <m/>
    <x v="0"/>
    <x v="0"/>
    <m/>
    <m/>
    <m/>
    <m/>
    <m/>
  </r>
  <r>
    <s v="17/2597/GPD15"/>
    <s v="CHU"/>
    <s v="PA"/>
    <d v="2017-08-30T00:00:00"/>
    <d v="2020-08-30T00:00:00"/>
    <m/>
    <m/>
    <x v="2"/>
    <s v="Open Market"/>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s v="East Sheen"/>
    <x v="0"/>
    <s v="East Sheen"/>
    <x v="0"/>
    <x v="0"/>
    <m/>
    <m/>
    <m/>
    <m/>
    <m/>
  </r>
  <r>
    <s v="17/2680/FUL"/>
    <s v="NEW"/>
    <m/>
    <d v="2017-12-11T00:00:00"/>
    <d v="2021-03-14T00:00:00"/>
    <d v="2020-06-01T00:00:00"/>
    <m/>
    <x v="2"/>
    <s v="Open Market"/>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s v="Hampton"/>
    <x v="1"/>
    <m/>
    <x v="0"/>
    <x v="0"/>
    <m/>
    <m/>
    <m/>
    <m/>
    <m/>
  </r>
  <r>
    <s v="17/2693/GPD15"/>
    <s v="CHU"/>
    <s v="PA"/>
    <d v="2017-09-08T00:00:00"/>
    <d v="2020-09-08T00:00:00"/>
    <m/>
    <m/>
    <x v="2"/>
    <s v="Open Market"/>
    <m/>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s v="East Sheen"/>
    <x v="0"/>
    <s v="East Sheen"/>
    <x v="0"/>
    <x v="0"/>
    <m/>
    <m/>
    <m/>
    <s v="Conservation Area"/>
    <s v="CA70 Sheen Lane Mortlake"/>
  </r>
  <r>
    <s v="17/2872/FUL"/>
    <s v="NEW"/>
    <m/>
    <d v="2019-05-30T00:00:00"/>
    <d v="2022-05-20T00:00:00"/>
    <m/>
    <m/>
    <x v="2"/>
    <s v="Open Market"/>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s v="Hampton"/>
    <x v="0"/>
    <m/>
    <x v="0"/>
    <x v="0"/>
    <m/>
    <m/>
    <m/>
    <m/>
    <m/>
  </r>
  <r>
    <s v="17/2957/FUL"/>
    <s v="CON"/>
    <m/>
    <d v="2017-12-20T00:00:00"/>
    <d v="2020-12-20T00:00:00"/>
    <m/>
    <m/>
    <x v="2"/>
    <s v="Open Market"/>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s v="Fulwell and Hampton Hill"/>
    <x v="0"/>
    <m/>
    <x v="0"/>
    <x v="1"/>
    <s v="High Street"/>
    <m/>
    <m/>
    <m/>
    <m/>
  </r>
  <r>
    <s v="17/3001/GPD16"/>
    <s v="CHU"/>
    <s v="PA"/>
    <d v="2017-09-27T00:00:00"/>
    <d v="2021-06-07T00:00:00"/>
    <m/>
    <m/>
    <x v="2"/>
    <s v="Open Market"/>
    <m/>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s v="Teddington"/>
    <x v="0"/>
    <s v="Teddington"/>
    <x v="0"/>
    <x v="0"/>
    <m/>
    <m/>
    <m/>
    <m/>
    <m/>
  </r>
  <r>
    <s v="17/3003/GPD16"/>
    <s v="CHU"/>
    <s v="PA"/>
    <d v="2017-09-27T00:00:00"/>
    <d v="2021-06-07T00:00:00"/>
    <m/>
    <m/>
    <x v="2"/>
    <s v="Open Market"/>
    <m/>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s v="Teddington"/>
    <x v="0"/>
    <s v="Teddington"/>
    <x v="0"/>
    <x v="0"/>
    <m/>
    <m/>
    <m/>
    <m/>
    <m/>
  </r>
  <r>
    <s v="17/3054/FUL"/>
    <s v="NEW"/>
    <m/>
    <d v="2018-10-30T00:00:00"/>
    <d v="2021-10-30T00:00:00"/>
    <m/>
    <m/>
    <x v="2"/>
    <s v="Open Market"/>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s v="Twickenham Riverside"/>
    <x v="0"/>
    <s v="Twickenham"/>
    <x v="0"/>
    <x v="0"/>
    <m/>
    <m/>
    <m/>
    <m/>
    <m/>
  </r>
  <r>
    <s v="17/3077/FUL"/>
    <s v="NEW"/>
    <m/>
    <d v="2018-03-15T00:00:00"/>
    <d v="2021-03-15T00:00:00"/>
    <d v="2020-05-04T00:00:00"/>
    <m/>
    <x v="2"/>
    <s v="Open Market"/>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s v="Twickenham Riverside"/>
    <x v="0"/>
    <s v="Twickenham"/>
    <x v="0"/>
    <x v="0"/>
    <m/>
    <m/>
    <m/>
    <s v="Conservation Area"/>
    <s v="CA8 Twickenham Riverside"/>
  </r>
  <r>
    <s v="17/3265/FUL"/>
    <s v="NEW"/>
    <m/>
    <d v="2018-01-15T00:00:00"/>
    <d v="2021-01-15T00:00:00"/>
    <m/>
    <m/>
    <x v="2"/>
    <s v="Open Market"/>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s v="Barnes"/>
    <x v="0"/>
    <m/>
    <x v="0"/>
    <x v="0"/>
    <m/>
    <m/>
    <m/>
    <s v="Conservation Area"/>
    <s v="CA25 Castelnau"/>
  </r>
  <r>
    <s v="17/3402/GPD16"/>
    <s v="CHU"/>
    <s v="PA"/>
    <d v="2017-11-03T00:00:00"/>
    <d v="2020-11-03T00:00:00"/>
    <m/>
    <m/>
    <x v="2"/>
    <s v="Open Market"/>
    <m/>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s v="Teddington"/>
    <x v="0"/>
    <s v="Teddington"/>
    <x v="0"/>
    <x v="0"/>
    <m/>
    <m/>
    <m/>
    <m/>
    <m/>
  </r>
  <r>
    <s v="17/3404/FUL"/>
    <s v="CHU"/>
    <m/>
    <d v="2018-02-01T00:00:00"/>
    <d v="2021-02-02T00:00:00"/>
    <m/>
    <m/>
    <x v="2"/>
    <s v="Open Market"/>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s v="Fulwell and Hampton Hill"/>
    <x v="0"/>
    <m/>
    <x v="0"/>
    <x v="1"/>
    <s v="Stanley Road"/>
    <m/>
    <m/>
    <m/>
    <m/>
  </r>
  <r>
    <s v="17/3590/FUL"/>
    <s v="NEW"/>
    <m/>
    <d v="2018-07-26T00:00:00"/>
    <d v="2021-07-26T00:00:00"/>
    <m/>
    <m/>
    <x v="2"/>
    <s v="Open Market"/>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s v="Fulwell and Hampton Hill"/>
    <x v="0"/>
    <m/>
    <x v="0"/>
    <x v="0"/>
    <m/>
    <m/>
    <m/>
    <m/>
    <m/>
  </r>
  <r>
    <s v="17/3610/FUL"/>
    <s v="MIX"/>
    <m/>
    <d v="2018-03-23T00:00:00"/>
    <d v="2021-03-23T00:00:00"/>
    <m/>
    <m/>
    <x v="2"/>
    <s v="Open Market"/>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s v="Barnes"/>
    <x v="0"/>
    <m/>
    <x v="0"/>
    <x v="1"/>
    <s v="High Street"/>
    <m/>
    <m/>
    <s v="Conservation Area"/>
    <s v="CA1 Barnes Green"/>
  </r>
  <r>
    <s v="17/3696/GPD16"/>
    <s v="CHU"/>
    <s v="PA"/>
    <d v="2017-12-22T00:00:00"/>
    <d v="2020-12-22T00:00:00"/>
    <m/>
    <m/>
    <x v="2"/>
    <s v="Open Market"/>
    <m/>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s v="East Sheen"/>
    <x v="0"/>
    <m/>
    <x v="0"/>
    <x v="0"/>
    <m/>
    <m/>
    <m/>
    <s v="Conservation Area"/>
    <s v="CA70 Sheen Lane Mortlake"/>
  </r>
  <r>
    <s v="17/3795/GPD15"/>
    <s v="CHU"/>
    <s v="PA"/>
    <d v="2017-12-11T00:00:00"/>
    <d v="2020-12-11T00:00:00"/>
    <m/>
    <m/>
    <x v="2"/>
    <s v="Open Market"/>
    <m/>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s v="Teddington"/>
    <x v="0"/>
    <m/>
    <x v="0"/>
    <x v="0"/>
    <m/>
    <m/>
    <m/>
    <m/>
    <m/>
  </r>
  <r>
    <s v="17/4005/FUL"/>
    <s v="MIX"/>
    <m/>
    <d v="2020-03-05T00:00:00"/>
    <d v="2023-03-05T00:00:00"/>
    <m/>
    <m/>
    <x v="2"/>
    <s v="Open Market"/>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s v="South Richmond"/>
    <x v="0"/>
    <s v="Richmond"/>
    <x v="0"/>
    <x v="0"/>
    <m/>
    <m/>
    <m/>
    <s v="Conservation Area"/>
    <s v="CA17 Central Richmond"/>
  </r>
  <r>
    <s v="17/4014/FUL"/>
    <s v="CHU"/>
    <m/>
    <d v="2018-11-30T00:00:00"/>
    <d v="2022-03-19T00:00:00"/>
    <m/>
    <m/>
    <x v="2"/>
    <s v="Open Market"/>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s v="South Twickenham"/>
    <x v="0"/>
    <s v="Twickenham"/>
    <x v="0"/>
    <x v="0"/>
    <m/>
    <m/>
    <m/>
    <m/>
    <m/>
  </r>
  <r>
    <s v="17/4015/FUL"/>
    <s v="NEW"/>
    <m/>
    <d v="2018-10-03T00:00:00"/>
    <d v="2021-10-03T00:00:00"/>
    <m/>
    <m/>
    <x v="2"/>
    <s v="Open Market"/>
    <m/>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s v="South Richmond"/>
    <x v="0"/>
    <s v="Richmond"/>
    <x v="0"/>
    <x v="0"/>
    <m/>
    <m/>
    <m/>
    <s v="Conservation Area"/>
    <s v="CA17 Central Richmond"/>
  </r>
  <r>
    <s v="17/4114/PS192"/>
    <s v="CHU"/>
    <s v="PA"/>
    <d v="2017-12-28T00:00:00"/>
    <d v="2020-12-28T00:00:00"/>
    <m/>
    <m/>
    <x v="2"/>
    <s v="Open Market"/>
    <m/>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s v="Teddington"/>
    <x v="0"/>
    <s v="Teddington"/>
    <x v="0"/>
    <x v="0"/>
    <m/>
    <m/>
    <m/>
    <m/>
    <m/>
  </r>
  <r>
    <s v="17/4122/FUL"/>
    <s v="NEW"/>
    <m/>
    <d v="2018-12-21T00:00:00"/>
    <d v="2021-12-21T00:00:00"/>
    <m/>
    <m/>
    <x v="2"/>
    <s v="Open Market"/>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s v="Mortlake and Barnes Common"/>
    <x v="0"/>
    <m/>
    <x v="1"/>
    <x v="0"/>
    <m/>
    <m/>
    <m/>
    <s v="Conservation Area"/>
    <s v="CA1 Barnes Green"/>
  </r>
  <r>
    <s v="17/4292/FUL"/>
    <s v="EXT"/>
    <m/>
    <d v="2018-01-25T00:00:00"/>
    <d v="2021-01-25T00:00:00"/>
    <m/>
    <m/>
    <x v="2"/>
    <s v="Open Market"/>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s v="North Richmond"/>
    <x v="0"/>
    <m/>
    <x v="0"/>
    <x v="0"/>
    <m/>
    <m/>
    <m/>
    <m/>
    <m/>
  </r>
  <r>
    <s v="17/4344/FUL"/>
    <s v="CHU"/>
    <m/>
    <d v="2018-03-09T00:00:00"/>
    <d v="2021-03-09T00:00:00"/>
    <m/>
    <m/>
    <x v="2"/>
    <s v="Open Market"/>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s v="South Richmond"/>
    <x v="0"/>
    <s v="Richmond"/>
    <x v="0"/>
    <x v="0"/>
    <m/>
    <m/>
    <m/>
    <s v="Conservation Area"/>
    <s v="CA17 Central Richmond"/>
  </r>
  <r>
    <s v="17/4422/GPD15"/>
    <s v="CHU"/>
    <s v="PA"/>
    <d v="2018-02-05T00:00:00"/>
    <d v="2021-02-05T00:00:00"/>
    <m/>
    <m/>
    <x v="2"/>
    <s v="Open Market"/>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s v="Teddington"/>
    <x v="0"/>
    <m/>
    <x v="0"/>
    <x v="0"/>
    <m/>
    <m/>
    <m/>
    <m/>
    <m/>
  </r>
  <r>
    <s v="17/4453/FUL"/>
    <s v="MIX"/>
    <m/>
    <d v="2018-05-10T00:00:00"/>
    <d v="2021-05-10T00:00:00"/>
    <m/>
    <m/>
    <x v="2"/>
    <s v="Open Market"/>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s v="Kew"/>
    <x v="0"/>
    <m/>
    <x v="0"/>
    <x v="0"/>
    <m/>
    <m/>
    <m/>
    <s v="Conservation Area"/>
    <s v="CA2 Kew Green"/>
  </r>
  <r>
    <s v="17/4477/FUL"/>
    <s v="CON"/>
    <m/>
    <d v="2019-05-23T00:00:00"/>
    <d v="2022-05-23T00:00:00"/>
    <m/>
    <m/>
    <x v="2"/>
    <s v="Open Market"/>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s v="South Richmond"/>
    <x v="0"/>
    <m/>
    <x v="0"/>
    <x v="0"/>
    <m/>
    <m/>
    <m/>
    <s v="Conservation Area"/>
    <s v="CA30 St Matthias Richmond"/>
  </r>
  <r>
    <s v="18/0268/FUL"/>
    <s v="NEW"/>
    <m/>
    <d v="2018-05-31T00:00:00"/>
    <d v="2021-05-31T00:00:00"/>
    <m/>
    <m/>
    <x v="2"/>
    <s v="Open Market"/>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s v="Fulwell and Hampton Hill"/>
    <x v="0"/>
    <m/>
    <x v="0"/>
    <x v="0"/>
    <m/>
    <m/>
    <m/>
    <m/>
    <m/>
  </r>
  <r>
    <s v="18/0301/FUL"/>
    <s v="NEW"/>
    <m/>
    <d v="2018-12-18T00:00:00"/>
    <d v="2021-12-18T00:00:00"/>
    <m/>
    <m/>
    <x v="2"/>
    <s v="Open Market"/>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s v="Ham, Petersham and Richmond Riverside"/>
    <x v="0"/>
    <m/>
    <x v="0"/>
    <x v="0"/>
    <m/>
    <m/>
    <m/>
    <m/>
    <m/>
  </r>
  <r>
    <s v="18/0315/FUL"/>
    <s v="NEW"/>
    <m/>
    <d v="2019-06-20T00:00:00"/>
    <d v="2022-06-20T00:00:00"/>
    <m/>
    <m/>
    <x v="2"/>
    <s v="Open Market"/>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s v="Hampton North"/>
    <x v="0"/>
    <m/>
    <x v="0"/>
    <x v="0"/>
    <m/>
    <m/>
    <m/>
    <m/>
    <m/>
  </r>
  <r>
    <s v="18/0584/GPD15"/>
    <s v="CHU"/>
    <s v="PA"/>
    <d v="2018-04-17T00:00:00"/>
    <d v="2021-05-17T00:00:00"/>
    <m/>
    <m/>
    <x v="2"/>
    <s v="Open Market"/>
    <m/>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s v="Fulwell and Hampton Hill"/>
    <x v="0"/>
    <m/>
    <x v="0"/>
    <x v="0"/>
    <m/>
    <m/>
    <m/>
    <s v="Conservation Area"/>
    <s v="CA38 High Street Hampton Hill"/>
  </r>
  <r>
    <s v="18/0723/FUL"/>
    <s v="NEW"/>
    <m/>
    <d v="2018-10-04T00:00:00"/>
    <d v="2021-10-04T00:00:00"/>
    <d v="2020-06-23T00:00:00"/>
    <m/>
    <x v="2"/>
    <s v="Open Market"/>
    <m/>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s v="South Richmond"/>
    <x v="0"/>
    <m/>
    <x v="0"/>
    <x v="0"/>
    <m/>
    <m/>
    <m/>
    <m/>
    <m/>
  </r>
  <r>
    <s v="18/0866/FUL"/>
    <s v="EXT"/>
    <m/>
    <d v="2018-11-05T00:00:00"/>
    <d v="2021-11-06T00:00:00"/>
    <m/>
    <m/>
    <x v="2"/>
    <s v="Open Market"/>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s v="North Richmond"/>
    <x v="0"/>
    <m/>
    <x v="0"/>
    <x v="0"/>
    <m/>
    <m/>
    <m/>
    <m/>
    <m/>
  </r>
  <r>
    <s v="18/1022/FUL"/>
    <s v="CON"/>
    <m/>
    <d v="2018-11-27T00:00:00"/>
    <d v="2021-11-27T00:00:00"/>
    <m/>
    <m/>
    <x v="2"/>
    <s v="Open Market"/>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s v="Teddington"/>
    <x v="0"/>
    <s v="Teddington"/>
    <x v="0"/>
    <x v="0"/>
    <m/>
    <m/>
    <m/>
    <s v="Conservation Area"/>
    <s v="CA37 High Street Teddington"/>
  </r>
  <r>
    <s v="18/1038/FUL"/>
    <s v="NEW"/>
    <m/>
    <d v="2019-02-04T00:00:00"/>
    <d v="2022-02-04T00:00:00"/>
    <m/>
    <m/>
    <x v="2"/>
    <s v="Open Market"/>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s v="East Sheen"/>
    <x v="0"/>
    <s v="East Sheen"/>
    <x v="0"/>
    <x v="0"/>
    <m/>
    <m/>
    <m/>
    <m/>
    <m/>
  </r>
  <r>
    <s v="18/1064/GPD15"/>
    <s v="CHU"/>
    <s v="PA"/>
    <d v="2018-05-22T00:00:00"/>
    <d v="2021-05-22T00:00:00"/>
    <m/>
    <m/>
    <x v="2"/>
    <s v="Open Market"/>
    <m/>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s v="East Sheen"/>
    <x v="0"/>
    <s v="East Sheen"/>
    <x v="0"/>
    <x v="0"/>
    <m/>
    <m/>
    <m/>
    <m/>
    <m/>
  </r>
  <r>
    <s v="18/1114/FUL"/>
    <s v="MIX"/>
    <m/>
    <d v="2019-07-25T00:00:00"/>
    <d v="2022-07-25T00:00:00"/>
    <m/>
    <m/>
    <x v="2"/>
    <s v="Open Market"/>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s v="Fulwell and Hampton Hill"/>
    <x v="0"/>
    <m/>
    <x v="0"/>
    <x v="1"/>
    <s v="High Street"/>
    <m/>
    <m/>
    <m/>
    <m/>
  </r>
  <r>
    <s v="18/1248/FUL"/>
    <s v="CHU"/>
    <m/>
    <d v="2018-12-21T00:00:00"/>
    <d v="2021-12-21T00:00:00"/>
    <m/>
    <m/>
    <x v="2"/>
    <s v="Open Market"/>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s v="North Richmond"/>
    <x v="0"/>
    <m/>
    <x v="0"/>
    <x v="0"/>
    <m/>
    <m/>
    <m/>
    <m/>
    <m/>
  </r>
  <r>
    <s v="18/1442/FUL"/>
    <s v="NEW"/>
    <m/>
    <d v="2019-01-07T00:00:00"/>
    <d v="2022-01-07T00:00:00"/>
    <m/>
    <m/>
    <x v="2"/>
    <s v="Open Market"/>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s v="West Twickenham"/>
    <x v="0"/>
    <m/>
    <x v="0"/>
    <x v="0"/>
    <m/>
    <m/>
    <m/>
    <m/>
    <m/>
  </r>
  <r>
    <s v="18/1446/FUL"/>
    <s v="NEW"/>
    <m/>
    <d v="2018-08-10T00:00:00"/>
    <d v="2021-08-10T00:00:00"/>
    <m/>
    <m/>
    <x v="2"/>
    <s v="Open Market"/>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s v="South Twickenham"/>
    <x v="0"/>
    <m/>
    <x v="0"/>
    <x v="0"/>
    <m/>
    <m/>
    <m/>
    <m/>
    <m/>
  </r>
  <r>
    <s v="18/1743/FUL"/>
    <s v="NEW"/>
    <m/>
    <d v="2018-10-12T00:00:00"/>
    <d v="2021-12-20T00:00:00"/>
    <m/>
    <m/>
    <x v="2"/>
    <s v="Open Market"/>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s v="Hampton Wick"/>
    <x v="1"/>
    <m/>
    <x v="0"/>
    <x v="0"/>
    <m/>
    <m/>
    <m/>
    <m/>
    <m/>
  </r>
  <r>
    <s v="18/1911/FUL"/>
    <s v="EXT"/>
    <m/>
    <d v="2018-12-11T00:00:00"/>
    <d v="2021-12-11T00:00:00"/>
    <m/>
    <m/>
    <x v="2"/>
    <s v="Open Market"/>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s v="Twickenham Riverside"/>
    <x v="0"/>
    <m/>
    <x v="0"/>
    <x v="0"/>
    <m/>
    <m/>
    <m/>
    <m/>
    <m/>
  </r>
  <r>
    <s v="18/2038/FUL"/>
    <s v="NEW"/>
    <m/>
    <d v="2019-02-12T00:00:00"/>
    <d v="2022-02-12T00:00:00"/>
    <m/>
    <m/>
    <x v="2"/>
    <s v="Open Market"/>
    <m/>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s v="Barnes"/>
    <x v="0"/>
    <m/>
    <x v="0"/>
    <x v="0"/>
    <m/>
    <m/>
    <m/>
    <m/>
    <m/>
  </r>
  <r>
    <s v="18/2328/GPD15"/>
    <s v="CHU"/>
    <s v="PA"/>
    <d v="2018-09-14T00:00:00"/>
    <d v="2021-09-14T00:00:00"/>
    <m/>
    <m/>
    <x v="2"/>
    <s v="Open Market"/>
    <m/>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s v="Teddington"/>
    <x v="0"/>
    <s v="Teddington"/>
    <x v="0"/>
    <x v="0"/>
    <m/>
    <m/>
    <m/>
    <m/>
    <m/>
  </r>
  <r>
    <s v="18/2716/GPD13"/>
    <s v="CHU"/>
    <s v="PA"/>
    <d v="2018-10-08T00:00:00"/>
    <d v="2021-10-08T00:00:00"/>
    <m/>
    <m/>
    <x v="2"/>
    <s v="Open Market"/>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s v="East Sheen"/>
    <x v="0"/>
    <m/>
    <x v="0"/>
    <x v="0"/>
    <m/>
    <m/>
    <m/>
    <m/>
    <m/>
  </r>
  <r>
    <s v="18/2943/FUL"/>
    <s v="EXT"/>
    <m/>
    <d v="2019-11-07T00:00:00"/>
    <d v="2022-11-07T00:00:00"/>
    <m/>
    <m/>
    <x v="2"/>
    <s v="Open Market"/>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s v="Hampton"/>
    <x v="0"/>
    <m/>
    <x v="0"/>
    <x v="0"/>
    <m/>
    <m/>
    <m/>
    <m/>
    <m/>
  </r>
  <r>
    <s v="18/3003/FUL"/>
    <s v="NEW"/>
    <m/>
    <d v="2019-05-24T00:00:00"/>
    <d v="2022-05-24T00:00:00"/>
    <m/>
    <m/>
    <x v="2"/>
    <s v="Open Market"/>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s v="St. Margarets and North Twickenham"/>
    <x v="0"/>
    <m/>
    <x v="0"/>
    <x v="0"/>
    <m/>
    <m/>
    <m/>
    <m/>
    <m/>
  </r>
  <r>
    <s v="18/3195/GPD15"/>
    <s v="CHU"/>
    <s v="PA"/>
    <d v="2018-11-12T00:00:00"/>
    <d v="2021-11-12T00:00:00"/>
    <m/>
    <m/>
    <x v="2"/>
    <s v="Open Market"/>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s v="East Sheen"/>
    <x v="0"/>
    <s v="East Sheen"/>
    <x v="0"/>
    <x v="0"/>
    <m/>
    <m/>
    <m/>
    <s v="Conservation Area"/>
    <s v="CA70 Sheen Lane Mortlake"/>
  </r>
  <r>
    <s v="18/3285/FUL"/>
    <s v="NEW"/>
    <m/>
    <d v="2019-03-18T00:00:00"/>
    <d v="2022-03-18T00:00:00"/>
    <m/>
    <m/>
    <x v="2"/>
    <s v="Open Market"/>
    <m/>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s v="Barnes"/>
    <x v="0"/>
    <m/>
    <x v="0"/>
    <x v="0"/>
    <m/>
    <m/>
    <m/>
    <m/>
    <m/>
  </r>
  <r>
    <s v="18/3460/FUL"/>
    <s v="CON"/>
    <m/>
    <d v="2019-02-26T00:00:00"/>
    <d v="2022-02-26T00:00:00"/>
    <m/>
    <m/>
    <x v="2"/>
    <s v="Open Market"/>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s v="South Richmond"/>
    <x v="0"/>
    <s v="Richmond"/>
    <x v="0"/>
    <x v="0"/>
    <m/>
    <m/>
    <m/>
    <s v="Conservation Area"/>
    <s v="CA17 Central Richmond"/>
  </r>
  <r>
    <s v="18/3613/GPD15"/>
    <s v="CHU"/>
    <s v="PA"/>
    <d v="2018-12-28T00:00:00"/>
    <d v="2021-12-28T00:00:00"/>
    <m/>
    <m/>
    <x v="2"/>
    <s v="Open Market"/>
    <m/>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s v="Fulwell and Hampton Hill"/>
    <x v="0"/>
    <m/>
    <x v="0"/>
    <x v="0"/>
    <m/>
    <m/>
    <m/>
    <m/>
    <m/>
  </r>
  <r>
    <s v="18/3696/FUL"/>
    <s v="CHU"/>
    <m/>
    <d v="2019-02-08T00:00:00"/>
    <d v="2022-02-08T00:00:00"/>
    <m/>
    <m/>
    <x v="2"/>
    <s v="Open Market"/>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s v="South Twickenham"/>
    <x v="0"/>
    <m/>
    <x v="0"/>
    <x v="1"/>
    <s v="Twickenham Green"/>
    <m/>
    <m/>
    <s v="Conservation Area"/>
    <s v="CA9 Twickenham Green"/>
  </r>
  <r>
    <s v="18/3930/FUL"/>
    <s v="NEW"/>
    <m/>
    <d v="2019-10-17T00:00:00"/>
    <d v="2022-10-17T00:00:00"/>
    <m/>
    <m/>
    <x v="2"/>
    <s v="Open Market"/>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s v="Hampton Wick"/>
    <x v="1"/>
    <m/>
    <x v="0"/>
    <x v="0"/>
    <m/>
    <m/>
    <m/>
    <m/>
    <m/>
  </r>
  <r>
    <s v="18/3950/FUL"/>
    <s v="CHU"/>
    <m/>
    <d v="2019-07-15T00:00:00"/>
    <d v="2022-07-15T00:00:00"/>
    <m/>
    <m/>
    <x v="2"/>
    <s v="Affordable Ren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s v="North Richmond"/>
    <x v="0"/>
    <m/>
    <x v="0"/>
    <x v="0"/>
    <m/>
    <m/>
    <m/>
    <s v="Conservation Area"/>
    <s v="CA36 Kew Foot Road"/>
  </r>
  <r>
    <s v="18/3950/FUL"/>
    <s v="CHU"/>
    <m/>
    <d v="2019-07-15T00:00:00"/>
    <d v="2022-07-15T00:00:00"/>
    <m/>
    <m/>
    <x v="2"/>
    <s v="Intermediate"/>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s v="North Richmond"/>
    <x v="0"/>
    <m/>
    <x v="0"/>
    <x v="0"/>
    <m/>
    <m/>
    <m/>
    <s v="Conservation Area"/>
    <s v="CA36 Kew Foot Road"/>
  </r>
  <r>
    <s v="18/3950/FUL"/>
    <s v="CHU"/>
    <m/>
    <d v="2019-07-15T00:00:00"/>
    <d v="2022-07-15T00:00:00"/>
    <m/>
    <m/>
    <x v="2"/>
    <s v="Open Market"/>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s v="North Richmond"/>
    <x v="0"/>
    <m/>
    <x v="0"/>
    <x v="0"/>
    <m/>
    <m/>
    <m/>
    <s v="Conservation Area"/>
    <s v="CA36 Kew Foot Road"/>
  </r>
  <r>
    <s v="18/3952/FUL"/>
    <s v="NEW"/>
    <m/>
    <d v="2019-03-29T00:00:00"/>
    <d v="2022-04-01T00:00:00"/>
    <m/>
    <m/>
    <x v="2"/>
    <s v="Open Market"/>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s v="Hampton"/>
    <x v="0"/>
    <m/>
    <x v="0"/>
    <x v="0"/>
    <m/>
    <m/>
    <m/>
    <m/>
    <m/>
  </r>
  <r>
    <s v="18/3954/FUL"/>
    <s v="NEW"/>
    <m/>
    <d v="2019-07-08T00:00:00"/>
    <d v="2022-06-24T00:00:00"/>
    <m/>
    <m/>
    <x v="2"/>
    <s v="Open Market"/>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s v="South Richmond"/>
    <x v="0"/>
    <m/>
    <x v="0"/>
    <x v="0"/>
    <m/>
    <m/>
    <m/>
    <s v="Conservation Area"/>
    <s v="CA69 Sheen Common Drive"/>
  </r>
  <r>
    <s v="18/4125/FUL"/>
    <s v="CON"/>
    <m/>
    <d v="2019-02-06T00:00:00"/>
    <d v="2022-02-06T00:00:00"/>
    <m/>
    <m/>
    <x v="2"/>
    <s v="Open Market"/>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s v="Fulwell and Hampton Hill"/>
    <x v="0"/>
    <m/>
    <x v="0"/>
    <x v="0"/>
    <m/>
    <m/>
    <m/>
    <m/>
    <m/>
  </r>
  <r>
    <s v="18/4138/FUL"/>
    <s v="NEW"/>
    <m/>
    <d v="2019-11-11T00:00:00"/>
    <d v="2022-11-11T00:00:00"/>
    <d v="2020-04-14T00:00:00"/>
    <m/>
    <x v="2"/>
    <s v="Open Market"/>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s v="Kew"/>
    <x v="0"/>
    <m/>
    <x v="0"/>
    <x v="0"/>
    <m/>
    <m/>
    <m/>
    <m/>
    <m/>
  </r>
  <r>
    <s v="18/4183/FUL"/>
    <s v="NEW"/>
    <m/>
    <d v="2019-07-25T00:00:00"/>
    <d v="2022-07-25T00:00:00"/>
    <m/>
    <m/>
    <x v="2"/>
    <s v="Open Market"/>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s v="Mortlake and Barnes Common"/>
    <x v="0"/>
    <m/>
    <x v="0"/>
    <x v="0"/>
    <m/>
    <m/>
    <m/>
    <m/>
    <m/>
  </r>
  <r>
    <s v="18/4259/FUL"/>
    <s v="CON"/>
    <m/>
    <d v="2019-09-23T00:00:00"/>
    <d v="2022-09-23T00:00:00"/>
    <m/>
    <m/>
    <x v="2"/>
    <s v="Open Market"/>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s v="Barnes"/>
    <x v="0"/>
    <m/>
    <x v="0"/>
    <x v="0"/>
    <m/>
    <m/>
    <m/>
    <m/>
    <m/>
  </r>
  <r>
    <s v="19/0171/GPD15"/>
    <s v="CHU"/>
    <s v="PA"/>
    <d v="2019-03-19T00:00:00"/>
    <d v="2022-03-19T00:00:00"/>
    <m/>
    <m/>
    <x v="2"/>
    <s v="Open Market"/>
    <m/>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s v="Barnes"/>
    <x v="0"/>
    <m/>
    <x v="0"/>
    <x v="0"/>
    <m/>
    <m/>
    <m/>
    <s v="Conservation Area"/>
    <s v="CA25 Castelnau"/>
  </r>
  <r>
    <s v="19/0175/FUL"/>
    <s v="NEW"/>
    <m/>
    <d v="2019-05-09T00:00:00"/>
    <d v="2022-05-09T00:00:00"/>
    <m/>
    <m/>
    <x v="2"/>
    <s v="Open Market"/>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s v="Twickenham Riverside"/>
    <x v="0"/>
    <m/>
    <x v="1"/>
    <x v="0"/>
    <m/>
    <m/>
    <m/>
    <s v="Conservation Area"/>
    <s v="CA8 Twickenham Riverside"/>
  </r>
  <r>
    <s v="19/0228/FUL"/>
    <s v="CON"/>
    <m/>
    <d v="2019-06-28T00:00:00"/>
    <d v="2022-06-28T00:00:00"/>
    <m/>
    <m/>
    <x v="2"/>
    <s v="Open Market"/>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s v="North Richmond"/>
    <x v="0"/>
    <m/>
    <x v="0"/>
    <x v="0"/>
    <m/>
    <m/>
    <m/>
    <s v="Conservation Area"/>
    <s v="CA36 Kew Foot Road"/>
  </r>
  <r>
    <s v="19/0338/FUL"/>
    <s v="NEW"/>
    <m/>
    <d v="2019-05-24T00:00:00"/>
    <d v="2022-05-24T00:00:00"/>
    <m/>
    <m/>
    <x v="2"/>
    <s v="Open Market"/>
    <m/>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s v="West Twickenham"/>
    <x v="0"/>
    <m/>
    <x v="0"/>
    <x v="0"/>
    <m/>
    <m/>
    <m/>
    <m/>
    <m/>
  </r>
  <r>
    <s v="19/0382/FUL"/>
    <s v="NEW"/>
    <m/>
    <d v="2019-12-05T00:00:00"/>
    <d v="2022-12-05T00:00:00"/>
    <m/>
    <m/>
    <x v="2"/>
    <s v="Open Market"/>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s v="South Twickenham"/>
    <x v="1"/>
    <m/>
    <x v="0"/>
    <x v="0"/>
    <m/>
    <m/>
    <m/>
    <m/>
    <m/>
  </r>
  <r>
    <s v="19/0391/FUL"/>
    <s v="NEW"/>
    <m/>
    <d v="2020-02-20T00:00:00"/>
    <d v="2023-02-20T00:00:00"/>
    <m/>
    <m/>
    <x v="2"/>
    <s v="Open Market"/>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s v="Mortlake and Barnes Common"/>
    <x v="0"/>
    <m/>
    <x v="0"/>
    <x v="1"/>
    <s v="Priests Bridge"/>
    <m/>
    <m/>
    <m/>
    <m/>
  </r>
  <r>
    <s v="19/0414/FUL"/>
    <s v="NEW"/>
    <m/>
    <d v="2020-01-22T00:00:00"/>
    <d v="2023-01-23T00:00:00"/>
    <m/>
    <m/>
    <x v="2"/>
    <s v="Open Market"/>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s v="Heathfield"/>
    <x v="1"/>
    <m/>
    <x v="0"/>
    <x v="0"/>
    <m/>
    <m/>
    <m/>
    <m/>
    <m/>
  </r>
  <r>
    <s v="19/0823/GPD13"/>
    <s v="CHU"/>
    <s v="PA"/>
    <d v="2019-05-07T00:00:00"/>
    <d v="2022-05-07T00:00:00"/>
    <m/>
    <m/>
    <x v="2"/>
    <s v="Open Market"/>
    <m/>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s v="Kew"/>
    <x v="0"/>
    <m/>
    <x v="0"/>
    <x v="0"/>
    <m/>
    <m/>
    <m/>
    <m/>
    <m/>
  </r>
  <r>
    <s v="19/0847/FUL"/>
    <s v="NEW"/>
    <m/>
    <d v="2019-12-23T00:00:00"/>
    <d v="2022-12-24T00:00:00"/>
    <m/>
    <m/>
    <x v="2"/>
    <s v="Open Market"/>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s v="Teddington"/>
    <x v="0"/>
    <m/>
    <x v="0"/>
    <x v="0"/>
    <m/>
    <m/>
    <m/>
    <m/>
    <m/>
  </r>
  <r>
    <s v="19/0911/FUL"/>
    <s v="EXT"/>
    <m/>
    <d v="2020-01-17T00:00:00"/>
    <d v="2023-02-05T00:00:00"/>
    <m/>
    <m/>
    <x v="2"/>
    <s v="Open Market"/>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s v="Hampton Wick"/>
    <x v="0"/>
    <m/>
    <x v="0"/>
    <x v="0"/>
    <m/>
    <m/>
    <m/>
    <m/>
    <m/>
  </r>
  <r>
    <s v="19/1029/FUL"/>
    <s v="EXT"/>
    <m/>
    <d v="2019-09-17T00:00:00"/>
    <d v="2022-09-17T00:00:00"/>
    <m/>
    <m/>
    <x v="2"/>
    <s v="Open Market"/>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s v="Fulwell and Hampton Hill"/>
    <x v="1"/>
    <m/>
    <x v="0"/>
    <x v="0"/>
    <m/>
    <m/>
    <m/>
    <m/>
    <m/>
  </r>
  <r>
    <s v="19/1033/GPD23"/>
    <s v="CHU"/>
    <s v="PA"/>
    <d v="2019-06-05T00:00:00"/>
    <d v="2022-06-05T00:00:00"/>
    <m/>
    <m/>
    <x v="2"/>
    <s v="Open Market"/>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s v="East Sheen"/>
    <x v="0"/>
    <s v="East Sheen"/>
    <x v="0"/>
    <x v="0"/>
    <m/>
    <m/>
    <m/>
    <s v="Conservation Area"/>
    <s v="CA70 Sheen Lane Mortlake"/>
  </r>
  <r>
    <s v="19/1098/FUL"/>
    <s v="NEW"/>
    <m/>
    <d v="2019-08-23T00:00:00"/>
    <d v="2022-08-27T00:00:00"/>
    <m/>
    <m/>
    <x v="2"/>
    <s v="Open Market"/>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s v="East Sheen"/>
    <x v="0"/>
    <m/>
    <x v="0"/>
    <x v="0"/>
    <m/>
    <m/>
    <m/>
    <s v="Conservation Area"/>
    <s v="CA64 Sheen Lane East Sheen"/>
  </r>
  <r>
    <s v="19/1162/FUL"/>
    <s v="MIX"/>
    <m/>
    <d v="2020-03-20T00:00:00"/>
    <d v="2023-03-20T00:00:00"/>
    <m/>
    <m/>
    <x v="2"/>
    <s v="Open Market"/>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s v="South Richmond"/>
    <x v="0"/>
    <s v="Richmond"/>
    <x v="0"/>
    <x v="0"/>
    <m/>
    <m/>
    <m/>
    <s v="Conservation Area"/>
    <s v="CA5 Richmond Hill"/>
  </r>
  <r>
    <s v="19/1219/FUL"/>
    <s v="NEW"/>
    <m/>
    <d v="2019-12-11T00:00:00"/>
    <d v="2022-12-11T00:00:00"/>
    <m/>
    <m/>
    <x v="2"/>
    <s v="Open Market"/>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s v="East Sheen"/>
    <x v="0"/>
    <m/>
    <x v="0"/>
    <x v="0"/>
    <m/>
    <m/>
    <m/>
    <m/>
    <m/>
  </r>
  <r>
    <s v="19/1361/FUL"/>
    <s v="EXT"/>
    <m/>
    <d v="2019-07-16T00:00:00"/>
    <d v="2022-07-16T00:00:00"/>
    <d v="2020-06-17T00:00:00"/>
    <d v="2020-09-30T00:00:00"/>
    <x v="2"/>
    <s v="Open Market"/>
    <m/>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s v="West Twickenham"/>
    <x v="0"/>
    <m/>
    <x v="0"/>
    <x v="0"/>
    <m/>
    <m/>
    <m/>
    <m/>
    <m/>
  </r>
  <r>
    <s v="19/1602/GPD15"/>
    <s v="CHU"/>
    <s v="PA"/>
    <d v="2019-07-15T00:00:00"/>
    <d v="2022-07-15T00:00:00"/>
    <m/>
    <m/>
    <x v="2"/>
    <s v="Open Market"/>
    <m/>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s v="Fulwell and Hampton Hill"/>
    <x v="0"/>
    <m/>
    <x v="0"/>
    <x v="0"/>
    <m/>
    <m/>
    <m/>
    <m/>
    <m/>
  </r>
  <r>
    <s v="19/1649/GPD15"/>
    <s v="CHU"/>
    <s v="PA"/>
    <d v="2019-07-16T00:00:00"/>
    <d v="2022-07-16T00:00:00"/>
    <m/>
    <m/>
    <x v="2"/>
    <s v="Open Market"/>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s v="Twickenham Riverside"/>
    <x v="0"/>
    <s v="Twickenham"/>
    <x v="0"/>
    <x v="0"/>
    <m/>
    <m/>
    <m/>
    <s v="Conservation Area"/>
    <s v="CA8 Twickenham Riverside"/>
  </r>
  <r>
    <s v="19/1703/FUL"/>
    <s v="CHU"/>
    <m/>
    <d v="2019-08-12T00:00:00"/>
    <d v="2022-12-27T00:00:00"/>
    <m/>
    <m/>
    <x v="2"/>
    <s v="Open Market"/>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s v="West Twickenham"/>
    <x v="0"/>
    <m/>
    <x v="0"/>
    <x v="0"/>
    <m/>
    <m/>
    <m/>
    <m/>
    <m/>
  </r>
  <r>
    <s v="19/1731/FUL"/>
    <s v="NEW"/>
    <m/>
    <d v="2019-08-21T00:00:00"/>
    <d v="2022-08-21T00:00:00"/>
    <m/>
    <m/>
    <x v="2"/>
    <s v="Open Market"/>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s v="South Twickenham"/>
    <x v="0"/>
    <m/>
    <x v="0"/>
    <x v="0"/>
    <m/>
    <m/>
    <m/>
    <m/>
    <m/>
  </r>
  <r>
    <s v="19/1759/FUL"/>
    <s v="CON"/>
    <m/>
    <d v="2019-09-09T00:00:00"/>
    <d v="2022-09-16T00:00:00"/>
    <m/>
    <m/>
    <x v="2"/>
    <s v="Open Market"/>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s v="Fulwell and Hampton Hill"/>
    <x v="0"/>
    <m/>
    <x v="0"/>
    <x v="0"/>
    <m/>
    <m/>
    <m/>
    <m/>
    <m/>
  </r>
  <r>
    <s v="19/1763/FUL"/>
    <s v="NEW"/>
    <m/>
    <d v="2019-09-23T00:00:00"/>
    <d v="2022-09-23T00:00:00"/>
    <m/>
    <m/>
    <x v="2"/>
    <s v="Open Market"/>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s v="St. Margarets and North Twickenham"/>
    <x v="0"/>
    <m/>
    <x v="0"/>
    <x v="0"/>
    <m/>
    <m/>
    <m/>
    <m/>
    <m/>
  </r>
  <r>
    <s v="19/1895/FUL"/>
    <s v="EXT"/>
    <m/>
    <d v="2019-10-23T00:00:00"/>
    <d v="2022-10-23T00:00:00"/>
    <m/>
    <m/>
    <x v="2"/>
    <s v="Open Market"/>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s v="Ham, Petersham and Richmond Riverside"/>
    <x v="0"/>
    <m/>
    <x v="0"/>
    <x v="0"/>
    <m/>
    <m/>
    <m/>
    <m/>
    <m/>
  </r>
  <r>
    <s v="19/1997/GPD23"/>
    <s v="CHU"/>
    <s v="PA"/>
    <d v="2019-08-29T00:00:00"/>
    <d v="2022-08-29T00:00:00"/>
    <m/>
    <m/>
    <x v="2"/>
    <s v="Open Market"/>
    <m/>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s v="Fulwell and Hampton Hill"/>
    <x v="0"/>
    <m/>
    <x v="0"/>
    <x v="1"/>
    <s v="High Street"/>
    <m/>
    <m/>
    <m/>
    <m/>
  </r>
  <r>
    <s v="19/2102/FUL"/>
    <s v="EXT"/>
    <m/>
    <d v="2019-08-21T00:00:00"/>
    <d v="2022-08-27T00:00:00"/>
    <m/>
    <m/>
    <x v="2"/>
    <s v="Open Market"/>
    <m/>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s v="Hampton Wick"/>
    <x v="0"/>
    <m/>
    <x v="0"/>
    <x v="0"/>
    <m/>
    <m/>
    <m/>
    <m/>
    <m/>
  </r>
  <r>
    <s v="19/2273/FUL"/>
    <s v="CHU"/>
    <m/>
    <d v="2019-12-23T00:00:00"/>
    <d v="2022-12-23T00:00:00"/>
    <m/>
    <m/>
    <x v="2"/>
    <s v="Open Market"/>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s v="Hampton North"/>
    <x v="0"/>
    <m/>
    <x v="0"/>
    <x v="0"/>
    <m/>
    <s v="Y"/>
    <m/>
    <m/>
    <m/>
  </r>
  <r>
    <s v="19/2300/FUL"/>
    <s v="NEW"/>
    <m/>
    <d v="2019-09-23T00:00:00"/>
    <d v="2022-09-23T00:00:00"/>
    <m/>
    <m/>
    <x v="2"/>
    <s v="Open Market"/>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s v="North Richmond"/>
    <x v="0"/>
    <m/>
    <x v="0"/>
    <x v="1"/>
    <s v="Kew Road"/>
    <m/>
    <m/>
    <s v="Conservation Area"/>
    <s v="CA36 Kew Foot Road"/>
  </r>
  <r>
    <s v="19/2788/FUL"/>
    <s v="EXT"/>
    <m/>
    <d v="2020-01-31T00:00:00"/>
    <d v="2023-02-03T00:00:00"/>
    <m/>
    <m/>
    <x v="2"/>
    <s v="Open Market"/>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s v="Kew"/>
    <x v="0"/>
    <m/>
    <x v="0"/>
    <x v="1"/>
    <s v="Sandycombe Road North"/>
    <m/>
    <m/>
    <m/>
    <m/>
  </r>
  <r>
    <s v="19/2796/GPD15"/>
    <s v="CHU"/>
    <s v="PA"/>
    <d v="2019-11-05T00:00:00"/>
    <d v="2022-07-05T00:00:00"/>
    <m/>
    <m/>
    <x v="2"/>
    <s v="Open Market"/>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s v="Mortlake and Barnes Common"/>
    <x v="0"/>
    <m/>
    <x v="0"/>
    <x v="0"/>
    <m/>
    <m/>
    <m/>
    <s v="Conservation Area"/>
    <s v="CA53 White Hart Lane Mortlake"/>
  </r>
  <r>
    <s v="19/3025/FUL"/>
    <s v="CHU"/>
    <m/>
    <d v="2020-01-29T00:00:00"/>
    <d v="2023-01-29T00:00:00"/>
    <m/>
    <m/>
    <x v="2"/>
    <s v="Open Market"/>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s v="Twickenham Riverside"/>
    <x v="0"/>
    <s v="Twickenham"/>
    <x v="0"/>
    <x v="0"/>
    <m/>
    <m/>
    <m/>
    <m/>
    <m/>
  </r>
  <r>
    <s v="19/3101/GPD23"/>
    <s v="CHU"/>
    <s v="PA"/>
    <d v="2019-11-18T00:00:00"/>
    <d v="2022-11-18T00:00:00"/>
    <m/>
    <m/>
    <x v="2"/>
    <s v="Open Market"/>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s v="Fulwell and Hampton Hill"/>
    <x v="0"/>
    <m/>
    <x v="0"/>
    <x v="1"/>
    <s v="Stanley Road"/>
    <m/>
    <m/>
    <m/>
    <m/>
  </r>
  <r>
    <s v="19/3419/FUL"/>
    <s v="NEW"/>
    <m/>
    <d v="2020-03-11T00:00:00"/>
    <d v="2023-03-11T00:00:00"/>
    <m/>
    <m/>
    <x v="2"/>
    <s v="Open Market"/>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s v="Ham, Petersham and Richmond Riverside"/>
    <x v="0"/>
    <m/>
    <x v="0"/>
    <x v="0"/>
    <m/>
    <m/>
    <m/>
    <m/>
    <m/>
  </r>
  <r>
    <s v="20/0136/FUL"/>
    <s v="NEW"/>
    <m/>
    <d v="2020-03-26T00:00:00"/>
    <d v="2021-12-21T00:00:00"/>
    <m/>
    <m/>
    <x v="2"/>
    <s v="Open Market"/>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s v="Barnes"/>
    <x v="0"/>
    <m/>
    <x v="0"/>
    <x v="0"/>
    <m/>
    <m/>
    <m/>
    <m/>
    <m/>
  </r>
  <r>
    <s v="20/0373/PS192"/>
    <s v="CHU"/>
    <s v="PA"/>
    <d v="2020-02-17T00:00:00"/>
    <d v="2020-02-18T00:00:00"/>
    <m/>
    <m/>
    <x v="2"/>
    <s v="Open Market"/>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s v="East Sheen"/>
    <x v="0"/>
    <s v="East Sheen"/>
    <x v="0"/>
    <x v="0"/>
    <m/>
    <m/>
    <m/>
    <m/>
    <m/>
  </r>
  <r>
    <s v="Site Allocation"/>
    <s v="NEW"/>
    <m/>
    <m/>
    <m/>
    <m/>
    <m/>
    <x v="3"/>
    <s v="Open Market / Affordable"/>
    <m/>
    <m/>
    <s v="Sainsbury’s, Manor Road/Lower Richmond Road"/>
    <m/>
    <m/>
    <m/>
    <m/>
    <m/>
    <m/>
    <m/>
    <m/>
    <m/>
    <m/>
    <m/>
    <m/>
    <m/>
    <m/>
    <m/>
    <m/>
    <m/>
    <m/>
    <m/>
    <m/>
    <m/>
    <m/>
    <m/>
    <m/>
    <m/>
    <m/>
    <m/>
    <m/>
    <n v="0"/>
    <m/>
    <n v="0"/>
    <n v="0"/>
    <n v="0"/>
    <n v="0"/>
    <n v="0"/>
    <n v="0"/>
    <n v="50"/>
    <n v="50"/>
    <n v="50"/>
    <n v="50"/>
    <n v="50"/>
    <n v="250"/>
    <n v="519119"/>
    <n v="175570"/>
    <s v="Ham, Petersham and Richmond Riverside"/>
    <x v="0"/>
    <m/>
    <x v="0"/>
    <x v="0"/>
    <m/>
    <m/>
    <m/>
    <m/>
    <m/>
  </r>
  <r>
    <s v="Site Allocation"/>
    <s v="NEW"/>
    <m/>
    <m/>
    <m/>
    <m/>
    <m/>
    <x v="3"/>
    <s v="Open Market / Affordable"/>
    <m/>
    <m/>
    <s v="Ham Central"/>
    <m/>
    <m/>
    <m/>
    <m/>
    <m/>
    <m/>
    <m/>
    <m/>
    <m/>
    <m/>
    <m/>
    <m/>
    <m/>
    <m/>
    <m/>
    <m/>
    <m/>
    <m/>
    <m/>
    <m/>
    <m/>
    <m/>
    <m/>
    <m/>
    <m/>
    <m/>
    <m/>
    <m/>
    <n v="0"/>
    <m/>
    <n v="0"/>
    <n v="0"/>
    <n v="0"/>
    <n v="0"/>
    <n v="0"/>
    <n v="0"/>
    <n v="50"/>
    <n v="50"/>
    <n v="50"/>
    <n v="50"/>
    <n v="50"/>
    <n v="250"/>
    <n v="517177"/>
    <n v="172352"/>
    <s v="Ham, Petersham and Richmond Riverside"/>
    <x v="0"/>
    <m/>
    <x v="0"/>
    <x v="0"/>
    <m/>
    <m/>
    <m/>
    <m/>
    <m/>
  </r>
  <r>
    <s v="Site Allocation"/>
    <s v="NEW"/>
    <m/>
    <m/>
    <m/>
    <m/>
    <m/>
    <x v="3"/>
    <s v="Open Market / Affordable"/>
    <m/>
    <m/>
    <s v="Mereway Day Centre"/>
    <m/>
    <m/>
    <m/>
    <m/>
    <m/>
    <m/>
    <m/>
    <m/>
    <m/>
    <m/>
    <m/>
    <m/>
    <m/>
    <m/>
    <m/>
    <m/>
    <m/>
    <m/>
    <m/>
    <m/>
    <m/>
    <m/>
    <m/>
    <m/>
    <m/>
    <m/>
    <m/>
    <m/>
    <n v="0"/>
    <m/>
    <n v="0"/>
    <n v="0"/>
    <n v="0"/>
    <n v="0"/>
    <n v="0"/>
    <n v="0"/>
    <n v="20"/>
    <n v="20"/>
    <n v="0"/>
    <n v="0"/>
    <n v="0"/>
    <n v="40"/>
    <n v="515033"/>
    <n v="173287"/>
    <s v="South Twickenham"/>
    <x v="0"/>
    <m/>
    <x v="0"/>
    <x v="0"/>
    <m/>
    <m/>
    <m/>
    <m/>
    <m/>
  </r>
  <r>
    <s v="Site Allocation"/>
    <s v="NEW"/>
    <m/>
    <m/>
    <m/>
    <m/>
    <m/>
    <x v="3"/>
    <s v="Open Market / Affordable"/>
    <m/>
    <m/>
    <s v="Telephone Exchange, 88 High Street, Teddington, TW1 18JD"/>
    <m/>
    <m/>
    <m/>
    <m/>
    <m/>
    <m/>
    <m/>
    <m/>
    <m/>
    <m/>
    <m/>
    <m/>
    <m/>
    <m/>
    <m/>
    <m/>
    <m/>
    <m/>
    <m/>
    <m/>
    <m/>
    <m/>
    <m/>
    <m/>
    <m/>
    <m/>
    <m/>
    <m/>
    <n v="0"/>
    <m/>
    <n v="0"/>
    <n v="0"/>
    <n v="0"/>
    <n v="0"/>
    <n v="0"/>
    <n v="0"/>
    <n v="0"/>
    <n v="5"/>
    <n v="5"/>
    <n v="5"/>
    <n v="5"/>
    <n v="20"/>
    <n v="516258"/>
    <n v="171100"/>
    <s v="Teddington"/>
    <x v="0"/>
    <m/>
    <x v="0"/>
    <x v="0"/>
    <m/>
    <m/>
    <m/>
    <m/>
    <m/>
  </r>
  <r>
    <s v="Site Allocation"/>
    <s v="NEW"/>
    <m/>
    <m/>
    <m/>
    <m/>
    <m/>
    <x v="3"/>
    <s v="Open Market / Affordable"/>
    <m/>
    <m/>
    <s v="Telephone Exchange, Ashdale Close, Whitton, TW1 7BE"/>
    <m/>
    <m/>
    <m/>
    <m/>
    <m/>
    <m/>
    <m/>
    <m/>
    <m/>
    <m/>
    <m/>
    <m/>
    <m/>
    <m/>
    <m/>
    <m/>
    <m/>
    <m/>
    <m/>
    <m/>
    <m/>
    <m/>
    <m/>
    <m/>
    <m/>
    <m/>
    <m/>
    <m/>
    <n v="0"/>
    <m/>
    <n v="0"/>
    <n v="0"/>
    <n v="0"/>
    <n v="0"/>
    <n v="0"/>
    <n v="0"/>
    <n v="0"/>
    <n v="5"/>
    <n v="5"/>
    <n v="5"/>
    <n v="5"/>
    <n v="20"/>
    <n v="514055"/>
    <n v="173847"/>
    <s v="Whitton"/>
    <x v="0"/>
    <m/>
    <x v="0"/>
    <x v="0"/>
    <m/>
    <m/>
    <m/>
    <m/>
    <m/>
  </r>
  <r>
    <s v="Site Allocation"/>
    <s v="NEW"/>
    <m/>
    <m/>
    <m/>
    <m/>
    <m/>
    <x v="3"/>
    <s v="Open Market / Affordable"/>
    <m/>
    <m/>
    <s v="Telephone Exchange, Garfield Road, Twickenham"/>
    <m/>
    <m/>
    <m/>
    <m/>
    <m/>
    <m/>
    <m/>
    <m/>
    <m/>
    <m/>
    <m/>
    <m/>
    <m/>
    <m/>
    <m/>
    <m/>
    <m/>
    <m/>
    <m/>
    <m/>
    <m/>
    <m/>
    <m/>
    <m/>
    <m/>
    <m/>
    <m/>
    <m/>
    <n v="0"/>
    <m/>
    <n v="0"/>
    <n v="0"/>
    <n v="0"/>
    <n v="0"/>
    <n v="0"/>
    <n v="0"/>
    <n v="0"/>
    <n v="5"/>
    <n v="5"/>
    <n v="5"/>
    <n v="5"/>
    <n v="20"/>
    <n v="516325"/>
    <n v="173426"/>
    <s v="Twickenham Riverside"/>
    <x v="0"/>
    <m/>
    <x v="0"/>
    <x v="0"/>
    <m/>
    <m/>
    <m/>
    <m/>
    <m/>
  </r>
  <r>
    <s v="18/0547/FUL"/>
    <s v="MIX"/>
    <m/>
    <m/>
    <m/>
    <m/>
    <m/>
    <x v="4"/>
    <s v="Open Market / Affordable"/>
    <s v="Stag Brewery"/>
    <m/>
    <s v="The Stag Brewery Lower Richmond Road Mortlake London SW14 7ET"/>
    <m/>
    <m/>
    <m/>
    <m/>
    <m/>
    <m/>
    <m/>
    <m/>
    <m/>
    <m/>
    <m/>
    <m/>
    <m/>
    <m/>
    <m/>
    <m/>
    <m/>
    <m/>
    <m/>
    <m/>
    <m/>
    <m/>
    <m/>
    <m/>
    <m/>
    <m/>
    <m/>
    <m/>
    <n v="300"/>
    <m/>
    <n v="0"/>
    <n v="0"/>
    <n v="0"/>
    <n v="0"/>
    <n v="150"/>
    <n v="150"/>
    <n v="80"/>
    <n v="80"/>
    <n v="80"/>
    <n v="80"/>
    <n v="80"/>
    <n v="700"/>
    <n v="520502"/>
    <n v="175950"/>
    <s v="Mortlake and Barnes Common"/>
    <x v="0"/>
    <m/>
    <x v="0"/>
    <x v="1"/>
    <s v="Mortlake"/>
    <m/>
    <m/>
    <s v="Conservation Area"/>
    <s v="CA33 Mortlake"/>
  </r>
  <r>
    <s v="18/3310/FUL"/>
    <s v="NEW"/>
    <m/>
    <d v="2020-09-16T00:00:00"/>
    <m/>
    <m/>
    <m/>
    <x v="4"/>
    <s v="Open Market / Affordable"/>
    <s v="Kew Biothane Plant"/>
    <m/>
    <s v="Kew Biothane Plant, Melliss Avenue, Kew_x000a_"/>
    <m/>
    <m/>
    <m/>
    <m/>
    <m/>
    <m/>
    <m/>
    <m/>
    <m/>
    <m/>
    <m/>
    <m/>
    <m/>
    <m/>
    <m/>
    <m/>
    <m/>
    <m/>
    <m/>
    <m/>
    <m/>
    <m/>
    <m/>
    <m/>
    <m/>
    <m/>
    <m/>
    <m/>
    <n v="90"/>
    <m/>
    <n v="0"/>
    <n v="0"/>
    <n v="0"/>
    <n v="0"/>
    <n v="45"/>
    <n v="45"/>
    <m/>
    <m/>
    <m/>
    <m/>
    <m/>
    <n v="90"/>
    <n v="519778"/>
    <n v="176914"/>
    <s v="Kew"/>
    <x v="0"/>
    <m/>
    <x v="1"/>
    <x v="0"/>
    <m/>
    <m/>
    <s v="Townmead Kew"/>
    <m/>
    <m/>
  </r>
  <r>
    <s v="18/3642/OUT"/>
    <s v="NEW"/>
    <m/>
    <d v="2020-09-14T00:00:00"/>
    <d v="2023-09-14T00:00:00"/>
    <m/>
    <m/>
    <x v="4"/>
    <s v="Open Market / Affordable"/>
    <s v="Barnes Hospital"/>
    <s v="Outline planning permission for the demolition and comprehensive redevelopment (phased development) of land at Barnes Hospital to provide a mixed use development comprising a health centre (Use Class D1), a Special Educational Needs (SEN) School (Use Class D1), up to 80 new build residential units (Use class C3), the conversion of two of the retained BTMs for use for up 3no. residential units (Use Class C3), the conversion of one BTM for medical use (Use Class D1), car parking, landscaping and associated works. All matters reserved save for the full details submitted in relation to access points at the site boundaries."/>
    <s v="Barnes Hospital, South Worple Way, East Sheen, SW14 8SU"/>
    <m/>
    <m/>
    <m/>
    <m/>
    <m/>
    <m/>
    <m/>
    <m/>
    <m/>
    <m/>
    <m/>
    <m/>
    <m/>
    <m/>
    <m/>
    <m/>
    <m/>
    <m/>
    <m/>
    <m/>
    <m/>
    <m/>
    <m/>
    <m/>
    <m/>
    <m/>
    <m/>
    <m/>
    <n v="83"/>
    <m/>
    <n v="0"/>
    <n v="0"/>
    <n v="0"/>
    <n v="0"/>
    <n v="41.5"/>
    <n v="41.5"/>
    <m/>
    <m/>
    <m/>
    <m/>
    <m/>
    <n v="83"/>
    <n v="521203"/>
    <n v="175677"/>
    <s v="Mortlake and Barnes Common"/>
    <x v="0"/>
    <m/>
    <x v="0"/>
    <x v="0"/>
    <m/>
    <m/>
    <m/>
    <m/>
    <m/>
  </r>
  <r>
    <s v="19/0510/FUL"/>
    <s v="NEW"/>
    <m/>
    <m/>
    <m/>
    <m/>
    <m/>
    <x v="4"/>
    <s v="Open Market / Affordable"/>
    <s v="Homebase Manor Road Richmond"/>
    <s v="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
    <s v="Homebase 84 Manor Road Richmond TW9 1YB"/>
    <m/>
    <m/>
    <m/>
    <m/>
    <m/>
    <m/>
    <m/>
    <m/>
    <m/>
    <m/>
    <m/>
    <m/>
    <m/>
    <m/>
    <m/>
    <m/>
    <m/>
    <m/>
    <m/>
    <m/>
    <m/>
    <m/>
    <m/>
    <m/>
    <m/>
    <m/>
    <m/>
    <m/>
    <n v="80"/>
    <m/>
    <n v="0"/>
    <n v="0"/>
    <n v="0"/>
    <n v="0"/>
    <n v="0"/>
    <n v="80"/>
    <m/>
    <m/>
    <m/>
    <m/>
    <m/>
    <n v="80"/>
    <n v="518920"/>
    <n v="175418"/>
    <s v="North Richmond"/>
    <x v="0"/>
    <m/>
    <x v="0"/>
    <x v="0"/>
    <m/>
    <m/>
    <m/>
    <m/>
    <m/>
  </r>
  <r>
    <s v="19/3616/FUL "/>
    <s v="NEW"/>
    <m/>
    <m/>
    <m/>
    <m/>
    <m/>
    <x v="4"/>
    <s v="Open Market / Affordable"/>
    <s v="Old Station Forecourt"/>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m/>
    <m/>
    <m/>
    <m/>
    <m/>
    <m/>
    <m/>
    <m/>
    <m/>
    <m/>
    <m/>
    <m/>
    <m/>
    <m/>
    <m/>
    <m/>
    <m/>
    <m/>
    <m/>
    <m/>
    <m/>
    <m/>
    <m/>
    <m/>
    <m/>
    <m/>
    <m/>
    <m/>
    <n v="46"/>
    <m/>
    <n v="0"/>
    <n v="0"/>
    <n v="0"/>
    <n v="0"/>
    <n v="23"/>
    <n v="23"/>
    <m/>
    <m/>
    <m/>
    <m/>
    <m/>
    <n v="46"/>
    <n v="516060"/>
    <n v="173599"/>
    <s v="Twickenham Riverside"/>
    <x v="0"/>
    <s v="Twickenham"/>
    <x v="0"/>
    <x v="0"/>
    <m/>
    <m/>
    <m/>
    <m/>
    <m/>
  </r>
  <r>
    <s v="20/0539/FUL"/>
    <s v="NEW"/>
    <m/>
    <d v="2020-10-07T00:00:00"/>
    <m/>
    <m/>
    <m/>
    <x v="4"/>
    <s v="Affordable"/>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n v="20"/>
    <m/>
    <n v="0"/>
    <n v="0"/>
    <n v="0"/>
    <n v="0"/>
    <n v="10"/>
    <n v="10"/>
    <m/>
    <m/>
    <m/>
    <m/>
    <m/>
    <n v="20"/>
    <n v="515141"/>
    <n v="171791"/>
    <s v="Fulwell and Hampton Hill"/>
    <x v="0"/>
    <m/>
    <x v="0"/>
    <x v="0"/>
    <m/>
    <m/>
    <m/>
    <m/>
    <m/>
  </r>
  <r>
    <s v="Site Allocation"/>
    <s v="MIX"/>
    <m/>
    <m/>
    <m/>
    <m/>
    <m/>
    <x v="4"/>
    <s v="Open Market / Affordable"/>
    <s v="Kneller Hall"/>
    <m/>
    <s v="Kneller Hall Royal Military School Of Music Kneller Road Twickenham"/>
    <m/>
    <m/>
    <m/>
    <m/>
    <m/>
    <m/>
    <m/>
    <m/>
    <m/>
    <m/>
    <m/>
    <m/>
    <m/>
    <m/>
    <m/>
    <m/>
    <m/>
    <m/>
    <m/>
    <m/>
    <m/>
    <m/>
    <m/>
    <m/>
    <m/>
    <m/>
    <m/>
    <m/>
    <n v="20"/>
    <m/>
    <n v="0"/>
    <n v="0"/>
    <n v="0"/>
    <n v="0"/>
    <n v="0"/>
    <n v="20"/>
    <n v="10"/>
    <n v="0"/>
    <n v="0"/>
    <n v="0"/>
    <n v="0"/>
    <n v="30"/>
    <n v="514682"/>
    <n v="174192"/>
    <s v="Whitton"/>
    <x v="0"/>
    <m/>
    <x v="0"/>
    <x v="0"/>
    <m/>
    <m/>
    <m/>
    <m/>
    <m/>
  </r>
  <r>
    <s v="Small Sites Trend"/>
    <s v="MIX"/>
    <m/>
    <m/>
    <m/>
    <m/>
    <m/>
    <x v="4"/>
    <s v="Open Market / Affordable"/>
    <s v="Small Sites Trend"/>
    <s v="Small Sites Trend"/>
    <s v="Small Sites Trend"/>
    <m/>
    <m/>
    <m/>
    <m/>
    <m/>
    <m/>
    <m/>
    <m/>
    <m/>
    <m/>
    <m/>
    <m/>
    <m/>
    <m/>
    <m/>
    <m/>
    <m/>
    <m/>
    <m/>
    <m/>
    <n v="0"/>
    <n v="0"/>
    <n v="0"/>
    <n v="0"/>
    <n v="0"/>
    <n v="0"/>
    <n v="0"/>
    <n v="0"/>
    <n v="742"/>
    <m/>
    <n v="0"/>
    <n v="20"/>
    <n v="20"/>
    <n v="234"/>
    <n v="234"/>
    <n v="234"/>
    <n v="234"/>
    <n v="234"/>
    <n v="234"/>
    <n v="234"/>
    <n v="234"/>
    <n v="1912"/>
    <m/>
    <m/>
    <s v="N/A"/>
    <x v="0"/>
    <m/>
    <x v="0"/>
    <x v="0"/>
    <m/>
    <m/>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9">
  <r>
    <s v="10/0312/FUL"/>
    <x v="0"/>
    <m/>
    <d v="2010-06-15T00:00:00"/>
    <d v="2013-06-15T00:00:00"/>
    <d v="2013-06-15T00:00:00"/>
    <d v="2019-10-03T00:00:00"/>
    <x v="0"/>
    <x v="0"/>
    <x v="0"/>
    <s v="Construction of three bedroom house and associated landscaping"/>
    <s v="72 Stanley Road_x000d_Teddington_x000d__x000d_"/>
    <m/>
    <m/>
    <m/>
    <m/>
    <m/>
    <m/>
    <m/>
    <m/>
    <m/>
    <n v="0"/>
    <m/>
    <m/>
    <m/>
    <n v="1"/>
    <m/>
    <m/>
    <m/>
    <m/>
    <m/>
    <n v="1"/>
    <n v="0"/>
    <n v="0"/>
    <n v="1"/>
    <n v="0"/>
    <n v="0"/>
    <n v="0"/>
    <n v="0"/>
    <n v="0"/>
    <n v="1"/>
    <m/>
    <n v="1"/>
    <n v="0"/>
    <n v="0"/>
    <n v="0"/>
    <n v="0"/>
    <n v="0"/>
    <m/>
    <m/>
    <m/>
    <m/>
    <m/>
    <n v="0"/>
    <n v="515372"/>
    <n v="171266"/>
    <x v="0"/>
  </r>
  <r>
    <s v="11/1443/FUL"/>
    <x v="0"/>
    <m/>
    <d v="2012-03-30T00:00:00"/>
    <d v="2015-03-30T00:00:00"/>
    <d v="2015-03-14T00:00:00"/>
    <d v="2020-01-31T00:00:00"/>
    <x v="0"/>
    <x v="0"/>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x v="1"/>
  </r>
  <r>
    <s v="11/2882/FUL"/>
    <x v="1"/>
    <m/>
    <d v="2012-09-10T00:00:00"/>
    <d v="2015-09-10T00:00:00"/>
    <d v="2015-09-09T00:00:00"/>
    <d v="2020-03-18T00:00:00"/>
    <x v="0"/>
    <x v="0"/>
    <x v="0"/>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x v="2"/>
  </r>
  <r>
    <s v="13/2163/FUL"/>
    <x v="2"/>
    <m/>
    <d v="2013-10-25T00:00:00"/>
    <d v="2016-10-28T00:00:00"/>
    <d v="2016-09-01T00:00:00"/>
    <d v="2019-08-14T00:00:00"/>
    <x v="0"/>
    <x v="0"/>
    <x v="0"/>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x v="3"/>
  </r>
  <r>
    <s v="14/3983/FUL"/>
    <x v="0"/>
    <m/>
    <d v="2015-05-15T00:00:00"/>
    <d v="2019-03-18T00:00:00"/>
    <d v="2017-04-14T00:00:00"/>
    <d v="2020-03-31T00:00:00"/>
    <x v="0"/>
    <x v="0"/>
    <x v="0"/>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x v="4"/>
  </r>
  <r>
    <s v="14/4464/P3JPA"/>
    <x v="1"/>
    <s v="PA"/>
    <d v="2015-01-05T00:00:00"/>
    <d v="2020-07-21T00:00:00"/>
    <d v="2018-02-01T00:00:00"/>
    <d v="2019-10-11T00:00:00"/>
    <x v="0"/>
    <x v="0"/>
    <x v="0"/>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x v="5"/>
  </r>
  <r>
    <s v="14/4721/FUL"/>
    <x v="0"/>
    <m/>
    <d v="2015-07-30T00:00:00"/>
    <d v="2018-07-30T00:00:00"/>
    <d v="2018-06-25T00:00:00"/>
    <d v="2020-02-19T00:00:00"/>
    <x v="0"/>
    <x v="0"/>
    <x v="0"/>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x v="6"/>
  </r>
  <r>
    <s v="14/4793/FUL"/>
    <x v="3"/>
    <m/>
    <d v="2016-11-11T00:00:00"/>
    <d v="2019-11-11T00:00:00"/>
    <d v="2018-01-14T00:00:00"/>
    <d v="2019-11-20T00:00:00"/>
    <x v="0"/>
    <x v="0"/>
    <x v="0"/>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x v="7"/>
  </r>
  <r>
    <s v="14/5364/P3JPA"/>
    <x v="1"/>
    <s v="PA"/>
    <d v="2015-03-03T00:00:00"/>
    <d v="2020-03-03T00:00:00"/>
    <d v="2016-03-01T00:00:00"/>
    <d v="2019-05-31T00:00:00"/>
    <x v="0"/>
    <x v="0"/>
    <x v="0"/>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x v="8"/>
  </r>
  <r>
    <s v="15/0160/FUL"/>
    <x v="0"/>
    <m/>
    <d v="2016-02-05T00:00:00"/>
    <d v="2019-02-05T00:00:00"/>
    <d v="2017-10-02T00:00:00"/>
    <d v="2019-05-20T00:00:00"/>
    <x v="0"/>
    <x v="0"/>
    <x v="0"/>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x v="0"/>
  </r>
  <r>
    <s v="15/0421/FUL"/>
    <x v="2"/>
    <m/>
    <d v="2016-08-04T00:00:00"/>
    <d v="2019-08-04T00:00:00"/>
    <d v="2018-03-01T00:00:00"/>
    <d v="2019-09-06T00:00:00"/>
    <x v="0"/>
    <x v="0"/>
    <x v="0"/>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x v="4"/>
  </r>
  <r>
    <s v="15/1440/FUL"/>
    <x v="0"/>
    <m/>
    <d v="2018-09-28T00:00:00"/>
    <d v="2021-10-01T00:00:00"/>
    <d v="2019-02-01T00:00:00"/>
    <d v="2020-03-09T00:00:00"/>
    <x v="0"/>
    <x v="0"/>
    <x v="0"/>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x v="2"/>
  </r>
  <r>
    <s v="15/1638/FUL"/>
    <x v="0"/>
    <m/>
    <d v="2016-08-23T00:00:00"/>
    <d v="2020-06-22T00:00:00"/>
    <d v="2018-02-01T00:00:00"/>
    <d v="2019-10-21T00:00:00"/>
    <x v="0"/>
    <x v="0"/>
    <x v="0"/>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x v="1"/>
  </r>
  <r>
    <s v="15/2440/VRC"/>
    <x v="0"/>
    <m/>
    <d v="2015-08-04T00:00:00"/>
    <d v="2018-08-04T00:00:00"/>
    <d v="2018-04-01T00:00:00"/>
    <d v="2019-10-18T00:00:00"/>
    <x v="0"/>
    <x v="0"/>
    <x v="0"/>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x v="9"/>
  </r>
  <r>
    <s v="15/2452/FUL"/>
    <x v="0"/>
    <m/>
    <d v="2015-07-27T00:00:00"/>
    <d v="2018-07-27T00:00:00"/>
    <d v="2016-05-12T00:00:00"/>
    <d v="2019-08-28T00:00:00"/>
    <x v="0"/>
    <x v="0"/>
    <x v="0"/>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x v="10"/>
  </r>
  <r>
    <s v="15/3183/FUL"/>
    <x v="2"/>
    <m/>
    <d v="2015-12-29T00:00:00"/>
    <d v="2018-12-30T00:00:00"/>
    <d v="2018-12-03T00:00:00"/>
    <d v="2019-07-01T00:00:00"/>
    <x v="0"/>
    <x v="0"/>
    <x v="0"/>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x v="11"/>
  </r>
  <r>
    <s v="15/4230/FUL"/>
    <x v="4"/>
    <m/>
    <d v="2016-06-02T00:00:00"/>
    <d v="2019-06-02T00:00:00"/>
    <d v="2017-06-05T00:00:00"/>
    <d v="2019-08-29T00:00:00"/>
    <x v="0"/>
    <x v="0"/>
    <x v="0"/>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x v="10"/>
  </r>
  <r>
    <s v="15/4281/GPD15"/>
    <x v="1"/>
    <s v="PA"/>
    <d v="2015-12-08T00:00:00"/>
    <d v="2020-12-09T00:00:00"/>
    <m/>
    <d v="2019-04-01T00:00:00"/>
    <x v="0"/>
    <x v="0"/>
    <x v="0"/>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x v="3"/>
  </r>
  <r>
    <s v="15/4835/FUL"/>
    <x v="0"/>
    <m/>
    <d v="2016-09-06T00:00:00"/>
    <d v="2019-09-07T00:00:00"/>
    <m/>
    <d v="2019-07-31T00:00:00"/>
    <x v="0"/>
    <x v="0"/>
    <x v="0"/>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x v="11"/>
  </r>
  <r>
    <s v="15/5216/FUL"/>
    <x v="0"/>
    <m/>
    <d v="2016-09-08T00:00:00"/>
    <d v="2019-10-21T00:00:00"/>
    <d v="2017-11-01T00:00:00"/>
    <d v="2019-06-30T00:00:00"/>
    <x v="0"/>
    <x v="1"/>
    <x v="0"/>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x v="3"/>
  </r>
  <r>
    <s v="15/5369/FUL"/>
    <x v="0"/>
    <m/>
    <d v="2016-06-15T00:00:00"/>
    <d v="2019-06-17T00:00:00"/>
    <m/>
    <d v="2019-07-30T00:00:00"/>
    <x v="0"/>
    <x v="0"/>
    <x v="0"/>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x v="8"/>
  </r>
  <r>
    <s v="16/0234/FUL"/>
    <x v="0"/>
    <m/>
    <d v="2016-10-14T00:00:00"/>
    <d v="2019-10-14T00:00:00"/>
    <d v="2017-12-01T00:00:00"/>
    <d v="2019-07-19T00:00:00"/>
    <x v="0"/>
    <x v="0"/>
    <x v="0"/>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x v="5"/>
  </r>
  <r>
    <s v="16/1293/FUL"/>
    <x v="4"/>
    <m/>
    <d v="2017-11-20T00:00:00"/>
    <d v="2020-11-21T00:00:00"/>
    <d v="2018-02-01T00:00:00"/>
    <d v="2019-10-11T00:00:00"/>
    <x v="0"/>
    <x v="0"/>
    <x v="0"/>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x v="5"/>
  </r>
  <r>
    <s v="16/1344/FUL"/>
    <x v="1"/>
    <m/>
    <d v="2017-05-18T00:00:00"/>
    <d v="2020-05-18T00:00:00"/>
    <d v="2018-01-08T00:00:00"/>
    <d v="2019-09-03T00:00:00"/>
    <x v="0"/>
    <x v="0"/>
    <x v="0"/>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x v="1"/>
  </r>
  <r>
    <s v="16/1729/FUL"/>
    <x v="3"/>
    <m/>
    <d v="2017-01-16T00:00:00"/>
    <d v="2020-05-03T00:00:00"/>
    <d v="2018-02-01T00:00:00"/>
    <d v="2019-08-01T00:00:00"/>
    <x v="0"/>
    <x v="0"/>
    <x v="0"/>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x v="8"/>
  </r>
  <r>
    <s v="16/1935/GPD15"/>
    <x v="1"/>
    <s v="PA"/>
    <d v="2016-07-04T00:00:00"/>
    <d v="2019-07-19T00:00:00"/>
    <d v="2018-10-01T00:00:00"/>
    <d v="2019-09-30T00:00:00"/>
    <x v="0"/>
    <x v="0"/>
    <x v="0"/>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x v="11"/>
  </r>
  <r>
    <s v="16/2042/FUL"/>
    <x v="2"/>
    <m/>
    <d v="2018-10-19T00:00:00"/>
    <d v="2021-10-19T00:00:00"/>
    <d v="2019-03-01T00:00:00"/>
    <d v="2020-03-02T00:00:00"/>
    <x v="0"/>
    <x v="0"/>
    <x v="0"/>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x v="1"/>
  </r>
  <r>
    <s v="16/2158/FUL"/>
    <x v="2"/>
    <m/>
    <d v="2016-08-05T00:00:00"/>
    <d v="2019-08-05T00:00:00"/>
    <d v="2016-09-29T00:00:00"/>
    <d v="2020-03-31T00:00:00"/>
    <x v="0"/>
    <x v="0"/>
    <x v="0"/>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x v="1"/>
  </r>
  <r>
    <s v="16/2348/FUL"/>
    <x v="0"/>
    <m/>
    <d v="2016-11-30T00:00:00"/>
    <d v="2019-11-30T00:00:00"/>
    <d v="2018-04-25T00:00:00"/>
    <d v="2020-03-31T00:00:00"/>
    <x v="0"/>
    <x v="0"/>
    <x v="0"/>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x v="12"/>
  </r>
  <r>
    <s v="16/2502/FUL"/>
    <x v="0"/>
    <m/>
    <d v="2017-03-16T00:00:00"/>
    <d v="2020-03-17T00:00:00"/>
    <d v="2018-02-01T00:00:00"/>
    <d v="2019-09-27T00:00:00"/>
    <x v="0"/>
    <x v="0"/>
    <x v="0"/>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x v="5"/>
  </r>
  <r>
    <s v="16/2975/GPD15"/>
    <x v="1"/>
    <s v="PA"/>
    <d v="2016-09-14T00:00:00"/>
    <d v="2019-09-14T00:00:00"/>
    <d v="2019-01-09T00:00:00"/>
    <d v="2019-12-23T00:00:00"/>
    <x v="0"/>
    <x v="0"/>
    <x v="0"/>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x v="10"/>
  </r>
  <r>
    <s v="16/3210/GPD15"/>
    <x v="1"/>
    <s v="PA"/>
    <d v="2016-09-30T00:00:00"/>
    <d v="2019-09-30T00:00:00"/>
    <d v="2019-04-02T00:00:00"/>
    <d v="2020-02-11T00:00:00"/>
    <x v="0"/>
    <x v="0"/>
    <x v="0"/>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x v="13"/>
  </r>
  <r>
    <s v="16/3247/FUL"/>
    <x v="0"/>
    <m/>
    <d v="2017-07-14T00:00:00"/>
    <d v="2020-10-31T00:00:00"/>
    <d v="2018-10-01T00:00:00"/>
    <d v="2020-01-21T00:00:00"/>
    <x v="0"/>
    <x v="0"/>
    <x v="0"/>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x v="14"/>
  </r>
  <r>
    <s v="16/3485/FUL"/>
    <x v="2"/>
    <m/>
    <d v="2017-10-30T00:00:00"/>
    <d v="2020-10-30T00:00:00"/>
    <d v="2020-01-10T00:00:00"/>
    <d v="2019-07-01T00:00:00"/>
    <x v="0"/>
    <x v="0"/>
    <x v="0"/>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x v="11"/>
  </r>
  <r>
    <s v="16/3552/FUL"/>
    <x v="3"/>
    <m/>
    <d v="2018-04-24T00:00:00"/>
    <d v="2021-04-24T00:00:00"/>
    <d v="2018-04-25T00:00:00"/>
    <d v="2020-03-30T00:00:00"/>
    <x v="0"/>
    <x v="0"/>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x v="15"/>
  </r>
  <r>
    <s v="16/3685/FUL"/>
    <x v="3"/>
    <m/>
    <d v="2016-11-16T00:00:00"/>
    <d v="2021-02-15T00:00:00"/>
    <d v="2018-06-22T00:00:00"/>
    <d v="2019-08-31T00:00:00"/>
    <x v="0"/>
    <x v="0"/>
    <x v="0"/>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x v="1"/>
  </r>
  <r>
    <s v="16/4193/FUL"/>
    <x v="0"/>
    <m/>
    <d v="2017-07-19T00:00:00"/>
    <d v="2020-07-19T00:00:00"/>
    <m/>
    <d v="2019-11-13T00:00:00"/>
    <x v="0"/>
    <x v="0"/>
    <x v="0"/>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x v="16"/>
  </r>
  <r>
    <s v="17/0164/GPD15"/>
    <x v="1"/>
    <s v="PA"/>
    <d v="2017-03-10T00:00:00"/>
    <d v="2020-03-10T00:00:00"/>
    <d v="2018-10-01T00:00:00"/>
    <d v="2019-04-24T00:00:00"/>
    <x v="0"/>
    <x v="0"/>
    <x v="0"/>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x v="10"/>
  </r>
  <r>
    <s v="17/0396/FUL"/>
    <x v="0"/>
    <m/>
    <d v="2017-06-05T00:00:00"/>
    <d v="2020-06-05T00:00:00"/>
    <d v="2019-02-01T00:00:00"/>
    <d v="2020-03-23T00:00:00"/>
    <x v="0"/>
    <x v="1"/>
    <x v="0"/>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x v="15"/>
  </r>
  <r>
    <s v="17/0460/FUL"/>
    <x v="2"/>
    <m/>
    <d v="2017-07-14T00:00:00"/>
    <d v="2020-07-14T00:00:00"/>
    <m/>
    <d v="2020-03-31T00:00:00"/>
    <x v="0"/>
    <x v="0"/>
    <x v="0"/>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x v="17"/>
  </r>
  <r>
    <s v="17/0733/FUL"/>
    <x v="2"/>
    <m/>
    <d v="2017-09-13T00:00:00"/>
    <d v="2020-09-13T00:00:00"/>
    <d v="2019-10-31T00:00:00"/>
    <d v="2020-03-18T00:00:00"/>
    <x v="0"/>
    <x v="0"/>
    <x v="0"/>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x v="7"/>
  </r>
  <r>
    <s v="17/0956/FUL"/>
    <x v="0"/>
    <m/>
    <d v="2017-09-14T00:00:00"/>
    <d v="2020-09-14T00:00:00"/>
    <d v="2019-01-14T00:00:00"/>
    <d v="2020-02-20T00:00:00"/>
    <x v="0"/>
    <x v="0"/>
    <x v="0"/>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x v="17"/>
  </r>
  <r>
    <s v="17/1207/FUL"/>
    <x v="0"/>
    <m/>
    <d v="2017-10-24T00:00:00"/>
    <d v="2020-10-24T00:00:00"/>
    <d v="2018-10-01T00:00:00"/>
    <d v="2019-11-18T00:00:00"/>
    <x v="0"/>
    <x v="0"/>
    <x v="0"/>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x v="9"/>
  </r>
  <r>
    <s v="17/1286/VRC"/>
    <x v="0"/>
    <m/>
    <d v="2017-10-05T00:00:00"/>
    <d v="2017-12-09T00:00:00"/>
    <d v="2017-10-05T00:00:00"/>
    <d v="2019-08-19T00:00:00"/>
    <x v="0"/>
    <x v="1"/>
    <x v="0"/>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x v="0"/>
  </r>
  <r>
    <s v="17/1286/VRC"/>
    <x v="0"/>
    <m/>
    <d v="2017-10-05T00:00:00"/>
    <d v="2017-12-09T00:00:00"/>
    <d v="2017-10-05T00:00:00"/>
    <d v="2019-12-06T00:00:00"/>
    <x v="0"/>
    <x v="0"/>
    <x v="0"/>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x v="0"/>
  </r>
  <r>
    <s v="17/1286/VRC"/>
    <x v="0"/>
    <m/>
    <d v="2017-10-05T00:00:00"/>
    <d v="2017-12-09T00:00:00"/>
    <d v="2017-10-05T00:00:00"/>
    <d v="2019-04-26T00:00:00"/>
    <x v="0"/>
    <x v="0"/>
    <x v="0"/>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x v="0"/>
  </r>
  <r>
    <s v="17/1621/FUL"/>
    <x v="1"/>
    <m/>
    <d v="2017-10-09T00:00:00"/>
    <d v="2021-04-03T00:00:00"/>
    <d v="2019-09-05T00:00:00"/>
    <d v="2019-10-29T00:00:00"/>
    <x v="0"/>
    <x v="0"/>
    <x v="0"/>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x v="4"/>
  </r>
  <r>
    <s v="17/2534/FUL"/>
    <x v="2"/>
    <m/>
    <d v="2018-02-22T00:00:00"/>
    <d v="2021-02-22T00:00:00"/>
    <d v="2019-03-01T00:00:00"/>
    <d v="2020-03-25T00:00:00"/>
    <x v="0"/>
    <x v="0"/>
    <x v="0"/>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x v="4"/>
  </r>
  <r>
    <s v="17/2779/NMA"/>
    <x v="0"/>
    <m/>
    <d v="2018-03-09T00:00:00"/>
    <d v="2021-03-09T00:00:00"/>
    <d v="2016-05-02T00:00:00"/>
    <d v="2020-03-31T00:00:00"/>
    <x v="0"/>
    <x v="0"/>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x v="15"/>
  </r>
  <r>
    <s v="17/2779/NMA"/>
    <x v="0"/>
    <m/>
    <d v="2018-03-09T00:00:00"/>
    <d v="2021-03-09T00:00:00"/>
    <d v="2016-05-02T00:00:00"/>
    <d v="2020-03-31T00:00:00"/>
    <x v="0"/>
    <x v="0"/>
    <x v="0"/>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x v="15"/>
  </r>
  <r>
    <s v="17/2995/FUL"/>
    <x v="1"/>
    <m/>
    <d v="2018-04-24T00:00:00"/>
    <d v="2021-04-24T00:00:00"/>
    <d v="2019-01-31T00:00:00"/>
    <d v="2019-04-10T00:00:00"/>
    <x v="0"/>
    <x v="0"/>
    <x v="0"/>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x v="12"/>
  </r>
  <r>
    <s v="17/3132/FUL"/>
    <x v="0"/>
    <m/>
    <d v="2018-10-16T00:00:00"/>
    <d v="2021-10-16T00:00:00"/>
    <d v="2019-02-05T00:00:00"/>
    <d v="2020-03-31T00:00:00"/>
    <x v="0"/>
    <x v="0"/>
    <x v="0"/>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x v="10"/>
  </r>
  <r>
    <s v="17/3347/FUL"/>
    <x v="0"/>
    <m/>
    <d v="2018-07-25T00:00:00"/>
    <d v="2021-07-25T00:00:00"/>
    <d v="2018-11-01T00:00:00"/>
    <d v="2019-12-02T00:00:00"/>
    <x v="0"/>
    <x v="0"/>
    <x v="0"/>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x v="6"/>
  </r>
  <r>
    <s v="17/3591/FUL"/>
    <x v="2"/>
    <m/>
    <d v="2018-10-12T00:00:00"/>
    <d v="2021-10-12T00:00:00"/>
    <m/>
    <d v="2020-03-31T00:00:00"/>
    <x v="0"/>
    <x v="0"/>
    <x v="0"/>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x v="13"/>
  </r>
  <r>
    <s v="17/4238/FUL"/>
    <x v="0"/>
    <m/>
    <d v="2018-02-23T00:00:00"/>
    <d v="2021-02-26T00:00:00"/>
    <d v="2019-02-13T00:00:00"/>
    <d v="2019-10-30T00:00:00"/>
    <x v="0"/>
    <x v="0"/>
    <x v="0"/>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x v="0"/>
  </r>
  <r>
    <s v="17/4606/FUL"/>
    <x v="0"/>
    <m/>
    <d v="2018-05-04T00:00:00"/>
    <d v="2021-05-04T00:00:00"/>
    <d v="2018-06-01T00:00:00"/>
    <d v="2019-05-31T00:00:00"/>
    <x v="0"/>
    <x v="0"/>
    <x v="0"/>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x v="15"/>
  </r>
  <r>
    <s v="18/0318/FUL"/>
    <x v="2"/>
    <m/>
    <d v="2018-10-09T00:00:00"/>
    <d v="2021-10-09T00:00:00"/>
    <d v="2018-11-01T00:00:00"/>
    <d v="2020-03-18T00:00:00"/>
    <x v="0"/>
    <x v="0"/>
    <x v="0"/>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x v="2"/>
  </r>
  <r>
    <s v="18/0433/FUL"/>
    <x v="1"/>
    <m/>
    <d v="2018-07-24T00:00:00"/>
    <d v="2021-07-24T00:00:00"/>
    <d v="2019-05-01T00:00:00"/>
    <d v="2019-09-14T00:00:00"/>
    <x v="0"/>
    <x v="0"/>
    <x v="0"/>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x v="1"/>
  </r>
  <r>
    <s v="18/0665/FUL"/>
    <x v="0"/>
    <m/>
    <d v="2018-09-20T00:00:00"/>
    <d v="2021-09-20T00:00:00"/>
    <d v="2018-04-09T00:00:00"/>
    <d v="2019-08-01T00:00:00"/>
    <x v="0"/>
    <x v="0"/>
    <x v="0"/>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x v="5"/>
  </r>
  <r>
    <s v="18/0737/FUL"/>
    <x v="1"/>
    <m/>
    <d v="2018-12-12T00:00:00"/>
    <d v="2021-12-13T00:00:00"/>
    <d v="2019-01-08T00:00:00"/>
    <d v="2020-02-07T00:00:00"/>
    <x v="0"/>
    <x v="0"/>
    <x v="0"/>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x v="6"/>
  </r>
  <r>
    <s v="18/0743/FUL"/>
    <x v="0"/>
    <m/>
    <d v="2018-08-23T00:00:00"/>
    <d v="2021-08-23T00:00:00"/>
    <m/>
    <d v="2019-05-28T00:00:00"/>
    <x v="0"/>
    <x v="0"/>
    <x v="0"/>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x v="2"/>
  </r>
  <r>
    <s v="18/0745/FUL"/>
    <x v="2"/>
    <m/>
    <d v="2018-07-06T00:00:00"/>
    <d v="2021-07-06T00:00:00"/>
    <d v="2018-10-01T00:00:00"/>
    <d v="2019-10-15T00:00:00"/>
    <x v="0"/>
    <x v="0"/>
    <x v="0"/>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x v="0"/>
  </r>
  <r>
    <s v="18/0860/GPD15"/>
    <x v="1"/>
    <s v="PA"/>
    <d v="2018-05-08T00:00:00"/>
    <d v="2021-05-08T00:00:00"/>
    <m/>
    <d v="2019-06-14T00:00:00"/>
    <x v="0"/>
    <x v="0"/>
    <x v="0"/>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x v="0"/>
  </r>
  <r>
    <s v="18/1175/FUL"/>
    <x v="4"/>
    <m/>
    <d v="2018-10-05T00:00:00"/>
    <d v="2021-10-05T00:00:00"/>
    <d v="2019-05-17T00:00:00"/>
    <d v="2019-09-10T00:00:00"/>
    <x v="0"/>
    <x v="0"/>
    <x v="0"/>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x v="12"/>
  </r>
  <r>
    <s v="18/1360/GPD15"/>
    <x v="1"/>
    <s v="PA"/>
    <d v="2018-06-15T00:00:00"/>
    <d v="2021-06-15T00:00:00"/>
    <d v="2019-05-03T00:00:00"/>
    <d v="2019-09-12T00:00:00"/>
    <x v="0"/>
    <x v="0"/>
    <x v="0"/>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x v="7"/>
  </r>
  <r>
    <s v="18/1566/FUL"/>
    <x v="2"/>
    <m/>
    <d v="2018-09-25T00:00:00"/>
    <d v="2021-09-25T00:00:00"/>
    <d v="2019-01-31T00:00:00"/>
    <d v="2019-10-10T00:00:00"/>
    <x v="0"/>
    <x v="0"/>
    <x v="0"/>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x v="1"/>
  </r>
  <r>
    <s v="18/1569/FUL"/>
    <x v="2"/>
    <m/>
    <d v="2018-08-17T00:00:00"/>
    <d v="2022-03-11T00:00:00"/>
    <d v="2019-03-31T00:00:00"/>
    <d v="2019-05-31T00:00:00"/>
    <x v="0"/>
    <x v="0"/>
    <x v="0"/>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x v="10"/>
  </r>
  <r>
    <s v="18/1722/GPD13"/>
    <x v="1"/>
    <s v="PA"/>
    <d v="2018-07-12T00:00:00"/>
    <d v="2021-07-12T00:00:00"/>
    <d v="2018-04-02T00:00:00"/>
    <d v="2019-10-14T00:00:00"/>
    <x v="0"/>
    <x v="0"/>
    <x v="0"/>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x v="11"/>
  </r>
  <r>
    <s v="18/1817/GPD15"/>
    <x v="1"/>
    <s v="PA"/>
    <d v="2018-06-29T00:00:00"/>
    <d v="2021-06-29T00:00:00"/>
    <m/>
    <d v="2020-02-21T00:00:00"/>
    <x v="0"/>
    <x v="0"/>
    <x v="0"/>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x v="11"/>
  </r>
  <r>
    <s v="18/2296/ES191"/>
    <x v="2"/>
    <m/>
    <d v="2018-08-20T00:00:00"/>
    <d v="2019-11-29T00:00:00"/>
    <m/>
    <d v="2019-11-29T00:00:00"/>
    <x v="0"/>
    <x v="0"/>
    <x v="0"/>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x v="14"/>
  </r>
  <r>
    <s v="18/2620/FUL"/>
    <x v="4"/>
    <m/>
    <d v="2019-01-04T00:00:00"/>
    <d v="2022-01-04T00:00:00"/>
    <d v="2018-04-02T00:00:00"/>
    <d v="2019-12-02T00:00:00"/>
    <x v="0"/>
    <x v="0"/>
    <x v="0"/>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x v="11"/>
  </r>
  <r>
    <s v="19/0141/ES191"/>
    <x v="1"/>
    <m/>
    <d v="2019-06-21T00:00:00"/>
    <d v="2019-06-21T00:00:00"/>
    <d v="2019-06-21T00:00:00"/>
    <d v="2019-06-21T00:00:00"/>
    <x v="0"/>
    <x v="0"/>
    <x v="0"/>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x v="1"/>
  </r>
  <r>
    <s v="19/0475/FUL"/>
    <x v="3"/>
    <m/>
    <d v="2019-07-31T00:00:00"/>
    <d v="2022-07-31T00:00:00"/>
    <m/>
    <d v="2020-02-26T00:00:00"/>
    <x v="0"/>
    <x v="0"/>
    <x v="0"/>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x v="11"/>
  </r>
  <r>
    <s v="19/0739/FUL"/>
    <x v="2"/>
    <m/>
    <d v="2019-10-23T00:00:00"/>
    <d v="2022-10-23T00:00:00"/>
    <m/>
    <d v="2019-10-23T00:00:00"/>
    <x v="0"/>
    <x v="0"/>
    <x v="0"/>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x v="9"/>
  </r>
  <r>
    <s v="19/1100/FUL"/>
    <x v="1"/>
    <m/>
    <d v="2019-10-10T00:00:00"/>
    <d v="2022-10-10T00:00:00"/>
    <d v="2019-10-01T00:00:00"/>
    <d v="2020-01-31T00:00:00"/>
    <x v="0"/>
    <x v="0"/>
    <x v="0"/>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x v="1"/>
  </r>
  <r>
    <s v="19/1217/ES191"/>
    <x v="2"/>
    <m/>
    <d v="2019-06-11T00:00:00"/>
    <d v="2019-06-11T00:00:00"/>
    <d v="2019-06-11T00:00:00"/>
    <d v="2019-06-11T00:00:00"/>
    <x v="0"/>
    <x v="0"/>
    <x v="0"/>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x v="10"/>
  </r>
  <r>
    <s v="19/2022/ES191"/>
    <x v="2"/>
    <m/>
    <d v="2019-09-16T00:00:00"/>
    <d v="2022-09-17T00:00:00"/>
    <m/>
    <d v="2019-09-17T00:00:00"/>
    <x v="0"/>
    <x v="0"/>
    <x v="0"/>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x v="0"/>
  </r>
  <r>
    <s v="19/2544/FUL"/>
    <x v="1"/>
    <m/>
    <d v="2019-12-10T00:00:00"/>
    <d v="2022-12-10T00:00:00"/>
    <m/>
    <d v="2019-12-14T00:00:00"/>
    <x v="0"/>
    <x v="0"/>
    <x v="0"/>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x v="16"/>
  </r>
  <r>
    <s v="19/3241/FUL"/>
    <x v="4"/>
    <m/>
    <d v="2020-03-13T00:00:00"/>
    <d v="2023-03-16T00:00:00"/>
    <d v="2020-03-16T00:00:00"/>
    <d v="2020-03-16T00:00:00"/>
    <x v="0"/>
    <x v="0"/>
    <x v="0"/>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x v="2"/>
  </r>
  <r>
    <s v="19/3586/ES191"/>
    <x v="1"/>
    <m/>
    <d v="2020-01-20T00:00:00"/>
    <d v="2020-01-20T00:00:00"/>
    <m/>
    <d v="2020-01-20T00:00:00"/>
    <x v="0"/>
    <x v="0"/>
    <x v="0"/>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x v="14"/>
  </r>
  <r>
    <s v="19/3757/ES191"/>
    <x v="2"/>
    <m/>
    <d v="2020-01-31T00:00:00"/>
    <d v="2020-01-31T00:00:00"/>
    <m/>
    <d v="2020-01-31T00:00:00"/>
    <x v="0"/>
    <x v="0"/>
    <x v="0"/>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x v="10"/>
  </r>
  <r>
    <s v="19/3854/ES191"/>
    <x v="1"/>
    <m/>
    <d v="2020-02-25T00:00:00"/>
    <d v="2020-02-25T00:00:00"/>
    <m/>
    <d v="2020-02-25T00:00:00"/>
    <x v="0"/>
    <x v="0"/>
    <x v="0"/>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x v="8"/>
  </r>
  <r>
    <s v="99/2063"/>
    <x v="0"/>
    <m/>
    <d v="2000-02-03T00:00:00"/>
    <d v="2005-02-03T00:00:00"/>
    <d v="2005-01-14T00:00:00"/>
    <d v="2019-07-18T00:00:00"/>
    <x v="0"/>
    <x v="0"/>
    <x v="0"/>
    <s v="Proposed Dwelling House"/>
    <s v="6 Boileau Road Barnes"/>
    <m/>
    <m/>
    <m/>
    <m/>
    <m/>
    <m/>
    <m/>
    <m/>
    <m/>
    <n v="0"/>
    <m/>
    <n v="1"/>
    <m/>
    <m/>
    <m/>
    <m/>
    <m/>
    <m/>
    <n v="0"/>
    <n v="1"/>
    <n v="1"/>
    <n v="0"/>
    <n v="0"/>
    <n v="0"/>
    <n v="0"/>
    <n v="0"/>
    <n v="0"/>
    <n v="0"/>
    <n v="1"/>
    <m/>
    <n v="1"/>
    <n v="0"/>
    <n v="0"/>
    <n v="0"/>
    <n v="0"/>
    <n v="0"/>
    <m/>
    <m/>
    <m/>
    <m/>
    <m/>
    <n v="0"/>
    <n v="522457"/>
    <n v="177328"/>
    <x v="17"/>
  </r>
  <r>
    <s v="13/0998/FUL"/>
    <x v="0"/>
    <m/>
    <d v="2013-11-05T00:00:00"/>
    <d v="2016-11-05T00:00:00"/>
    <d v="2016-08-14T00:00:00"/>
    <m/>
    <x v="1"/>
    <x v="0"/>
    <x v="0"/>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x v="11"/>
  </r>
  <r>
    <s v="19/0637/FUL"/>
    <x v="0"/>
    <m/>
    <d v="2020-02-06T00:00:00"/>
    <d v="2023-02-06T00:00:00"/>
    <d v="2020-09-21T00:00:00"/>
    <m/>
    <x v="1"/>
    <x v="0"/>
    <x v="0"/>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x v="9"/>
  </r>
  <r>
    <s v="19/2246/FUL"/>
    <x v="2"/>
    <m/>
    <d v="2019-10-22T00:00:00"/>
    <d v="2022-10-22T00:00:00"/>
    <m/>
    <d v="2020-06-15T00:00:00"/>
    <x v="1"/>
    <x v="0"/>
    <x v="0"/>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x v="0"/>
  </r>
  <r>
    <s v="07/3348/FUL"/>
    <x v="0"/>
    <m/>
    <d v="2008-04-01T00:00:00"/>
    <d v="2011-04-01T00:00:00"/>
    <d v="2012-08-17T00:00:00"/>
    <m/>
    <x v="1"/>
    <x v="0"/>
    <x v="0"/>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x v="15"/>
  </r>
  <r>
    <s v="11/1443/FUL"/>
    <x v="0"/>
    <m/>
    <d v="2012-03-30T00:00:00"/>
    <d v="2015-03-30T00:00:00"/>
    <d v="2015-03-14T00:00:00"/>
    <m/>
    <x v="1"/>
    <x v="0"/>
    <x v="0"/>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x v="1"/>
  </r>
  <r>
    <s v="13/1327/FUL"/>
    <x v="1"/>
    <m/>
    <d v="2013-09-03T00:00:00"/>
    <d v="2016-09-03T00:00:00"/>
    <d v="2016-08-19T00:00:00"/>
    <m/>
    <x v="1"/>
    <x v="0"/>
    <x v="0"/>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x v="15"/>
  </r>
  <r>
    <s v="14/2118/FUL"/>
    <x v="2"/>
    <m/>
    <d v="2014-07-18T00:00:00"/>
    <d v="2018-01-19T00:00:00"/>
    <d v="2017-10-01T00:00:00"/>
    <m/>
    <x v="1"/>
    <x v="0"/>
    <x v="0"/>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x v="7"/>
  </r>
  <r>
    <s v="14/2257/FUL"/>
    <x v="3"/>
    <m/>
    <d v="2015-03-26T00:00:00"/>
    <d v="2018-03-27T00:00:00"/>
    <d v="2016-06-01T00:00:00"/>
    <m/>
    <x v="1"/>
    <x v="0"/>
    <x v="0"/>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x v="14"/>
  </r>
  <r>
    <s v="14/2797/P3JPA"/>
    <x v="1"/>
    <s v="PA"/>
    <d v="2015-08-20T00:00:00"/>
    <d v="2017-11-27T00:00:00"/>
    <d v="2017-06-30T00:00:00"/>
    <m/>
    <x v="1"/>
    <x v="0"/>
    <x v="0"/>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x v="5"/>
  </r>
  <r>
    <s v="14/3011/FUL"/>
    <x v="1"/>
    <m/>
    <d v="2015-04-17T00:00:00"/>
    <d v="2018-04-20T00:00:00"/>
    <d v="2018-04-04T00:00:00"/>
    <m/>
    <x v="1"/>
    <x v="0"/>
    <x v="0"/>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x v="0"/>
  </r>
  <r>
    <s v="14/3780/FUL"/>
    <x v="3"/>
    <m/>
    <d v="2015-04-30T00:00:00"/>
    <d v="2018-04-30T00:00:00"/>
    <d v="2016-07-01T00:00:00"/>
    <m/>
    <x v="1"/>
    <x v="0"/>
    <x v="0"/>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x v="4"/>
  </r>
  <r>
    <s v="14/4839/FUL"/>
    <x v="0"/>
    <m/>
    <d v="2016-07-14T00:00:00"/>
    <d v="2019-07-14T00:00:00"/>
    <d v="2019-06-01T00:00:00"/>
    <m/>
    <x v="1"/>
    <x v="0"/>
    <x v="0"/>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x v="10"/>
  </r>
  <r>
    <s v="14/5284/FUL"/>
    <x v="2"/>
    <m/>
    <d v="2015-02-16T00:00:00"/>
    <d v="2018-02-16T00:00:00"/>
    <d v="2018-03-23T00:00:00"/>
    <m/>
    <x v="1"/>
    <x v="0"/>
    <x v="0"/>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x v="4"/>
  </r>
  <r>
    <s v="14/5306/FUL"/>
    <x v="1"/>
    <m/>
    <d v="2015-06-22T00:00:00"/>
    <d v="2018-06-22T00:00:00"/>
    <d v="2017-05-01T00:00:00"/>
    <m/>
    <x v="1"/>
    <x v="0"/>
    <x v="0"/>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x v="12"/>
  </r>
  <r>
    <s v="15/1486/FUL"/>
    <x v="0"/>
    <m/>
    <d v="2015-07-16T00:00:00"/>
    <d v="2018-07-16T00:00:00"/>
    <d v="2018-06-04T00:00:00"/>
    <m/>
    <x v="1"/>
    <x v="0"/>
    <x v="0"/>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x v="14"/>
  </r>
  <r>
    <s v="15/2854/FUL"/>
    <x v="0"/>
    <m/>
    <d v="2016-06-02T00:00:00"/>
    <d v="2019-06-02T00:00:00"/>
    <d v="2019-05-01T00:00:00"/>
    <m/>
    <x v="1"/>
    <x v="1"/>
    <x v="0"/>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x v="15"/>
  </r>
  <r>
    <s v="15/2855/FUL"/>
    <x v="0"/>
    <m/>
    <d v="2016-06-02T00:00:00"/>
    <d v="2019-06-02T00:00:00"/>
    <d v="2019-05-28T00:00:00"/>
    <m/>
    <x v="1"/>
    <x v="1"/>
    <x v="0"/>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x v="15"/>
  </r>
  <r>
    <s v="15/2857/FUL"/>
    <x v="0"/>
    <m/>
    <d v="2016-11-17T00:00:00"/>
    <d v="2019-11-17T00:00:00"/>
    <d v="2019-10-16T00:00:00"/>
    <m/>
    <x v="1"/>
    <x v="1"/>
    <x v="0"/>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x v="15"/>
  </r>
  <r>
    <s v="15/3072/FUL"/>
    <x v="1"/>
    <m/>
    <d v="2016-10-07T00:00:00"/>
    <d v="2019-10-07T00:00:00"/>
    <d v="2018-03-01T00:00:00"/>
    <m/>
    <x v="1"/>
    <x v="0"/>
    <x v="0"/>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x v="0"/>
  </r>
  <r>
    <s v="15/3518/FUL"/>
    <x v="0"/>
    <m/>
    <d v="2019-03-08T00:00:00"/>
    <d v="2022-03-08T00:00:00"/>
    <d v="2019-10-01T00:00:00"/>
    <m/>
    <x v="1"/>
    <x v="0"/>
    <x v="0"/>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x v="10"/>
  </r>
  <r>
    <s v="15/5217/NMA1"/>
    <x v="0"/>
    <m/>
    <d v="2019-10-11T00:00:00"/>
    <d v="2022-10-11T00:00:00"/>
    <d v="2019-10-16T00:00:00"/>
    <m/>
    <x v="1"/>
    <x v="0"/>
    <x v="0"/>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x v="4"/>
  </r>
  <r>
    <s v="15/5351/FUL"/>
    <x v="0"/>
    <m/>
    <d v="2017-04-06T00:00:00"/>
    <d v="2020-04-07T00:00:00"/>
    <d v="2020-02-23T00:00:00"/>
    <m/>
    <x v="1"/>
    <x v="0"/>
    <x v="0"/>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x v="2"/>
  </r>
  <r>
    <s v="16/0058/FUL"/>
    <x v="1"/>
    <m/>
    <d v="2016-07-14T00:00:00"/>
    <d v="2019-07-14T00:00:00"/>
    <d v="2019-07-10T00:00:00"/>
    <m/>
    <x v="1"/>
    <x v="0"/>
    <x v="0"/>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x v="4"/>
  </r>
  <r>
    <s v="16/0432/FUL"/>
    <x v="0"/>
    <m/>
    <d v="2016-08-31T00:00:00"/>
    <d v="2019-08-31T00:00:00"/>
    <d v="2017-05-09T00:00:00"/>
    <m/>
    <x v="1"/>
    <x v="0"/>
    <x v="0"/>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x v="17"/>
  </r>
  <r>
    <s v="16/0680/FUL"/>
    <x v="4"/>
    <m/>
    <d v="2016-04-19T00:00:00"/>
    <d v="2019-04-19T00:00:00"/>
    <d v="2016-07-01T00:00:00"/>
    <m/>
    <x v="1"/>
    <x v="0"/>
    <x v="0"/>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x v="7"/>
  </r>
  <r>
    <s v="16/0905/FUL"/>
    <x v="0"/>
    <m/>
    <d v="2017-02-23T00:00:00"/>
    <d v="2020-02-23T00:00:00"/>
    <d v="2020-02-19T00:00:00"/>
    <m/>
    <x v="1"/>
    <x v="0"/>
    <x v="0"/>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x v="9"/>
  </r>
  <r>
    <s v="16/1145/FUL"/>
    <x v="2"/>
    <m/>
    <d v="2016-12-15T00:00:00"/>
    <d v="2019-12-15T00:00:00"/>
    <d v="2019-02-01T00:00:00"/>
    <m/>
    <x v="1"/>
    <x v="0"/>
    <x v="0"/>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x v="3"/>
  </r>
  <r>
    <s v="16/1373/FUL"/>
    <x v="1"/>
    <m/>
    <d v="2016-09-19T00:00:00"/>
    <d v="2019-09-19T00:00:00"/>
    <d v="2017-11-24T00:00:00"/>
    <m/>
    <x v="1"/>
    <x v="0"/>
    <x v="0"/>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x v="4"/>
  </r>
  <r>
    <s v="16/1882/FUL"/>
    <x v="0"/>
    <m/>
    <d v="2017-05-30T00:00:00"/>
    <d v="2020-05-30T00:00:00"/>
    <d v="2019-04-01T00:00:00"/>
    <m/>
    <x v="1"/>
    <x v="0"/>
    <x v="0"/>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x v="17"/>
  </r>
  <r>
    <s v="16/1903/FUL"/>
    <x v="1"/>
    <m/>
    <d v="2016-11-15T00:00:00"/>
    <d v="2020-11-01T00:00:00"/>
    <d v="2019-01-14T00:00:00"/>
    <d v="2020-05-18T00:00:00"/>
    <x v="1"/>
    <x v="0"/>
    <x v="0"/>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x v="9"/>
  </r>
  <r>
    <s v="16/2306/FUL"/>
    <x v="2"/>
    <m/>
    <d v="2016-08-17T00:00:00"/>
    <d v="2019-08-17T00:00:00"/>
    <d v="2019-01-14T00:00:00"/>
    <m/>
    <x v="1"/>
    <x v="0"/>
    <x v="0"/>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x v="15"/>
  </r>
  <r>
    <s v="16/2637/FUL"/>
    <x v="0"/>
    <m/>
    <d v="2017-03-07T00:00:00"/>
    <d v="2020-03-07T00:00:00"/>
    <d v="2017-05-10T00:00:00"/>
    <m/>
    <x v="1"/>
    <x v="0"/>
    <x v="0"/>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x v="17"/>
  </r>
  <r>
    <s v="16/2647/FUL"/>
    <x v="0"/>
    <m/>
    <d v="2017-10-10T00:00:00"/>
    <d v="2020-10-10T00:00:00"/>
    <d v="2019-12-02T00:00:00"/>
    <m/>
    <x v="1"/>
    <x v="2"/>
    <x v="0"/>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x v="0"/>
  </r>
  <r>
    <s v="16/2709/FUL"/>
    <x v="0"/>
    <m/>
    <d v="2017-04-10T00:00:00"/>
    <d v="2020-04-10T00:00:00"/>
    <d v="2020-03-22T00:00:00"/>
    <m/>
    <x v="1"/>
    <x v="0"/>
    <x v="0"/>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x v="17"/>
  </r>
  <r>
    <s v="16/3293/RES"/>
    <x v="0"/>
    <m/>
    <d v="2016-11-03T00:00:00"/>
    <d v="2019-11-03T00:00:00"/>
    <d v="2017-03-13T00:00:00"/>
    <m/>
    <x v="1"/>
    <x v="1"/>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x v="1"/>
  </r>
  <r>
    <s v="16/3293/RES"/>
    <x v="0"/>
    <m/>
    <d v="2016-11-03T00:00:00"/>
    <d v="2019-11-03T00:00:00"/>
    <d v="2017-03-13T00:00:00"/>
    <m/>
    <x v="1"/>
    <x v="0"/>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x v="1"/>
  </r>
  <r>
    <s v="16/3293/RES"/>
    <x v="0"/>
    <m/>
    <d v="2016-11-03T00:00:00"/>
    <d v="2019-11-03T00:00:00"/>
    <d v="2017-03-13T00:00:00"/>
    <m/>
    <x v="1"/>
    <x v="2"/>
    <x v="0"/>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x v="1"/>
  </r>
  <r>
    <s v="16/3450/FUL"/>
    <x v="0"/>
    <m/>
    <d v="2017-10-16T00:00:00"/>
    <d v="2020-10-16T00:00:00"/>
    <d v="2018-09-03T00:00:00"/>
    <d v="2020-09-09T00:00:00"/>
    <x v="1"/>
    <x v="0"/>
    <x v="0"/>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x v="5"/>
  </r>
  <r>
    <s v="16/3506/FUL"/>
    <x v="0"/>
    <m/>
    <d v="2018-10-11T00:00:00"/>
    <d v="2021-10-11T00:00:00"/>
    <d v="2019-10-14T00:00:00"/>
    <m/>
    <x v="1"/>
    <x v="1"/>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x v="13"/>
  </r>
  <r>
    <s v="16/3506/FUL"/>
    <x v="0"/>
    <m/>
    <d v="2018-10-11T00:00:00"/>
    <d v="2021-10-11T00:00:00"/>
    <d v="2019-10-14T00:00:00"/>
    <m/>
    <x v="1"/>
    <x v="2"/>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x v="13"/>
  </r>
  <r>
    <s v="16/3506/FUL"/>
    <x v="0"/>
    <m/>
    <d v="2018-10-11T00:00:00"/>
    <d v="2021-10-11T00:00:00"/>
    <d v="2019-10-14T00:00:00"/>
    <m/>
    <x v="1"/>
    <x v="3"/>
    <x v="0"/>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x v="13"/>
  </r>
  <r>
    <s v="16/3552/FUL"/>
    <x v="3"/>
    <m/>
    <d v="2018-04-24T00:00:00"/>
    <d v="2021-04-24T00:00:00"/>
    <d v="2018-04-25T00:00:00"/>
    <m/>
    <x v="1"/>
    <x v="0"/>
    <x v="0"/>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x v="15"/>
  </r>
  <r>
    <s v="16/3625/FUL"/>
    <x v="0"/>
    <m/>
    <d v="2017-11-30T00:00:00"/>
    <d v="2020-11-30T00:00:00"/>
    <d v="2018-09-01T00:00:00"/>
    <m/>
    <x v="1"/>
    <x v="0"/>
    <x v="0"/>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x v="10"/>
  </r>
  <r>
    <s v="16/3961/FUL"/>
    <x v="0"/>
    <m/>
    <d v="2017-02-20T00:00:00"/>
    <d v="2020-08-10T00:00:00"/>
    <d v="2019-01-14T00:00:00"/>
    <m/>
    <x v="1"/>
    <x v="0"/>
    <x v="0"/>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x v="6"/>
  </r>
  <r>
    <s v="16/4127/FUL"/>
    <x v="2"/>
    <m/>
    <d v="2017-12-04T00:00:00"/>
    <d v="2021-01-30T00:00:00"/>
    <d v="2019-03-01T00:00:00"/>
    <m/>
    <x v="1"/>
    <x v="0"/>
    <x v="0"/>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x v="0"/>
  </r>
  <r>
    <s v="16/4405/FUL"/>
    <x v="0"/>
    <m/>
    <d v="2017-03-27T00:00:00"/>
    <d v="2020-03-27T00:00:00"/>
    <d v="2017-09-01T00:00:00"/>
    <m/>
    <x v="1"/>
    <x v="0"/>
    <x v="0"/>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x v="2"/>
  </r>
  <r>
    <s v="16/4635/FUL"/>
    <x v="0"/>
    <m/>
    <d v="2017-03-07T00:00:00"/>
    <d v="2020-03-07T00:00:00"/>
    <d v="2020-03-01T00:00:00"/>
    <m/>
    <x v="1"/>
    <x v="0"/>
    <x v="0"/>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x v="13"/>
  </r>
  <r>
    <s v="16/4772/GPD15"/>
    <x v="1"/>
    <s v="PA"/>
    <d v="2017-02-24T00:00:00"/>
    <d v="2020-12-21T00:00:00"/>
    <d v="2019-10-07T00:00:00"/>
    <m/>
    <x v="1"/>
    <x v="0"/>
    <x v="0"/>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x v="10"/>
  </r>
  <r>
    <s v="16/4890/FUL"/>
    <x v="0"/>
    <m/>
    <d v="2017-09-08T00:00:00"/>
    <d v="2020-09-08T00:00:00"/>
    <d v="2019-03-30T00:00:00"/>
    <m/>
    <x v="1"/>
    <x v="0"/>
    <x v="0"/>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x v="9"/>
  </r>
  <r>
    <s v="16/4902/FUL"/>
    <x v="0"/>
    <m/>
    <d v="2017-06-22T00:00:00"/>
    <d v="2021-11-12T00:00:00"/>
    <d v="2019-10-09T00:00:00"/>
    <m/>
    <x v="1"/>
    <x v="0"/>
    <x v="0"/>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x v="4"/>
  </r>
  <r>
    <s v="17/0323/FUL"/>
    <x v="0"/>
    <m/>
    <d v="2018-03-22T00:00:00"/>
    <d v="2021-03-23T00:00:00"/>
    <d v="2020-03-31T00:00:00"/>
    <m/>
    <x v="1"/>
    <x v="0"/>
    <x v="0"/>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x v="11"/>
  </r>
  <r>
    <s v="17/0330/FUL"/>
    <x v="0"/>
    <m/>
    <d v="2017-08-07T00:00:00"/>
    <d v="2020-08-07T00:00:00"/>
    <d v="2018-03-20T00:00:00"/>
    <m/>
    <x v="1"/>
    <x v="0"/>
    <x v="0"/>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x v="3"/>
  </r>
  <r>
    <s v="17/1285/GPD15"/>
    <x v="1"/>
    <s v="PA"/>
    <d v="2017-05-26T00:00:00"/>
    <d v="2021-12-08T00:00:00"/>
    <d v="2020-01-13T00:00:00"/>
    <m/>
    <x v="1"/>
    <x v="0"/>
    <x v="0"/>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x v="9"/>
  </r>
  <r>
    <s v="17/1286/VRC"/>
    <x v="0"/>
    <m/>
    <d v="2017-10-05T00:00:00"/>
    <d v="2017-12-09T00:00:00"/>
    <d v="2017-10-05T00:00:00"/>
    <d v="2020-05-15T00:00:00"/>
    <x v="1"/>
    <x v="0"/>
    <x v="0"/>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x v="0"/>
  </r>
  <r>
    <s v="17/1453/FUL"/>
    <x v="1"/>
    <m/>
    <d v="2018-04-24T00:00:00"/>
    <d v="2021-04-24T00:00:00"/>
    <d v="2019-10-03T00:00:00"/>
    <m/>
    <x v="1"/>
    <x v="0"/>
    <x v="0"/>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x v="5"/>
  </r>
  <r>
    <s v="17/1937/FUL"/>
    <x v="1"/>
    <m/>
    <d v="2018-09-13T00:00:00"/>
    <d v="2021-09-13T00:00:00"/>
    <d v="2019-10-01T00:00:00"/>
    <m/>
    <x v="1"/>
    <x v="0"/>
    <x v="0"/>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x v="5"/>
  </r>
  <r>
    <s v="17/1996/FUL"/>
    <x v="0"/>
    <m/>
    <d v="2017-11-28T00:00:00"/>
    <d v="2020-11-28T00:00:00"/>
    <d v="2019-02-01T00:00:00"/>
    <m/>
    <x v="1"/>
    <x v="0"/>
    <x v="0"/>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x v="12"/>
  </r>
  <r>
    <s v="17/2488/FUL"/>
    <x v="0"/>
    <m/>
    <d v="2017-08-25T00:00:00"/>
    <d v="2021-04-06T00:00:00"/>
    <d v="2018-12-01T00:00:00"/>
    <m/>
    <x v="1"/>
    <x v="0"/>
    <x v="0"/>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x v="7"/>
  </r>
  <r>
    <s v="17/2769/FUL"/>
    <x v="0"/>
    <m/>
    <d v="2018-04-13T00:00:00"/>
    <d v="2021-04-13T00:00:00"/>
    <d v="2018-11-30T00:00:00"/>
    <m/>
    <x v="1"/>
    <x v="0"/>
    <x v="0"/>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x v="15"/>
  </r>
  <r>
    <s v="17/2939/FUL"/>
    <x v="1"/>
    <m/>
    <d v="2017-11-09T00:00:00"/>
    <d v="2020-11-09T00:00:00"/>
    <d v="2018-09-04T00:00:00"/>
    <m/>
    <x v="1"/>
    <x v="0"/>
    <x v="0"/>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x v="6"/>
  </r>
  <r>
    <s v="17/3667/FUL"/>
    <x v="0"/>
    <m/>
    <d v="2018-04-25T00:00:00"/>
    <d v="2021-04-25T00:00:00"/>
    <d v="2020-03-02T00:00:00"/>
    <m/>
    <x v="1"/>
    <x v="0"/>
    <x v="0"/>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x v="15"/>
  </r>
  <r>
    <s v="17/4268/FUL"/>
    <x v="0"/>
    <m/>
    <d v="2018-05-09T00:00:00"/>
    <d v="2021-05-09T00:00:00"/>
    <d v="2019-03-01T00:00:00"/>
    <m/>
    <x v="1"/>
    <x v="0"/>
    <x v="0"/>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x v="17"/>
  </r>
  <r>
    <s v="17/4303/FUL"/>
    <x v="4"/>
    <m/>
    <d v="2018-07-20T00:00:00"/>
    <d v="2021-07-20T00:00:00"/>
    <m/>
    <d v="2020-07-07T00:00:00"/>
    <x v="1"/>
    <x v="0"/>
    <x v="0"/>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x v="11"/>
  </r>
  <r>
    <s v="17/4368/FUL"/>
    <x v="3"/>
    <m/>
    <d v="2019-03-06T00:00:00"/>
    <d v="2022-03-07T00:00:00"/>
    <d v="2019-09-02T00:00:00"/>
    <m/>
    <x v="1"/>
    <x v="0"/>
    <x v="0"/>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x v="16"/>
  </r>
  <r>
    <s v="17/4517/VRC"/>
    <x v="0"/>
    <m/>
    <d v="2018-02-26T00:00:00"/>
    <d v="2021-02-26T00:00:00"/>
    <d v="2019-03-01T00:00:00"/>
    <d v="2020-08-13T00:00:00"/>
    <x v="1"/>
    <x v="0"/>
    <x v="0"/>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x v="7"/>
  </r>
  <r>
    <s v="18/0111/FUL"/>
    <x v="0"/>
    <m/>
    <d v="2018-06-27T00:00:00"/>
    <d v="2021-06-27T00:00:00"/>
    <d v="2019-06-15T00:00:00"/>
    <d v="2020-07-01T00:00:00"/>
    <x v="1"/>
    <x v="0"/>
    <x v="0"/>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x v="2"/>
  </r>
  <r>
    <s v="18/0216/FUL"/>
    <x v="2"/>
    <m/>
    <d v="2018-12-05T00:00:00"/>
    <d v="2021-12-05T00:00:00"/>
    <d v="2019-11-11T00:00:00"/>
    <m/>
    <x v="1"/>
    <x v="0"/>
    <x v="0"/>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x v="7"/>
  </r>
  <r>
    <s v="18/0282/FUL"/>
    <x v="0"/>
    <m/>
    <d v="2018-04-03T00:00:00"/>
    <d v="2021-04-03T00:00:00"/>
    <d v="2019-03-01T00:00:00"/>
    <m/>
    <x v="1"/>
    <x v="0"/>
    <x v="0"/>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x v="6"/>
  </r>
  <r>
    <s v="18/0449/FUL"/>
    <x v="2"/>
    <m/>
    <d v="2018-09-07T00:00:00"/>
    <d v="2021-09-07T00:00:00"/>
    <d v="2018-11-01T00:00:00"/>
    <m/>
    <x v="1"/>
    <x v="0"/>
    <x v="0"/>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x v="8"/>
  </r>
  <r>
    <s v="18/0692/FUL"/>
    <x v="0"/>
    <m/>
    <d v="2018-08-17T00:00:00"/>
    <d v="2021-08-17T00:00:00"/>
    <d v="2019-08-12T00:00:00"/>
    <m/>
    <x v="1"/>
    <x v="0"/>
    <x v="0"/>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x v="8"/>
  </r>
  <r>
    <s v="18/0771/FUL"/>
    <x v="0"/>
    <m/>
    <d v="2018-06-21T00:00:00"/>
    <d v="2021-06-21T00:00:00"/>
    <d v="2018-12-01T00:00:00"/>
    <m/>
    <x v="1"/>
    <x v="0"/>
    <x v="0"/>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x v="16"/>
  </r>
  <r>
    <s v="18/0929/FUL"/>
    <x v="3"/>
    <m/>
    <d v="2018-11-07T00:00:00"/>
    <d v="2021-11-07T00:00:00"/>
    <d v="2018-12-03T00:00:00"/>
    <d v="2020-06-12T00:00:00"/>
    <x v="1"/>
    <x v="0"/>
    <x v="0"/>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x v="11"/>
  </r>
  <r>
    <s v="18/0946/FUL"/>
    <x v="1"/>
    <m/>
    <d v="2018-06-04T00:00:00"/>
    <d v="2021-06-04T00:00:00"/>
    <d v="2020-01-13T00:00:00"/>
    <m/>
    <x v="1"/>
    <x v="0"/>
    <x v="0"/>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x v="9"/>
  </r>
  <r>
    <s v="18/1619/FUL"/>
    <x v="4"/>
    <m/>
    <d v="2019-05-28T00:00:00"/>
    <d v="2022-05-28T00:00:00"/>
    <d v="2019-08-07T00:00:00"/>
    <d v="2020-05-12T00:00:00"/>
    <x v="1"/>
    <x v="0"/>
    <x v="0"/>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x v="7"/>
  </r>
  <r>
    <s v="18/1767/FUL"/>
    <x v="1"/>
    <m/>
    <d v="2019-01-11T00:00:00"/>
    <d v="2022-01-11T00:00:00"/>
    <d v="2019-03-01T00:00:00"/>
    <d v="2020-05-11T00:00:00"/>
    <x v="1"/>
    <x v="0"/>
    <x v="0"/>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x v="11"/>
  </r>
  <r>
    <s v="18/1808/FUL"/>
    <x v="0"/>
    <m/>
    <d v="2018-11-19T00:00:00"/>
    <d v="2021-11-19T00:00:00"/>
    <d v="2019-10-16T00:00:00"/>
    <m/>
    <x v="1"/>
    <x v="0"/>
    <x v="0"/>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x v="0"/>
  </r>
  <r>
    <s v="18/2114/FUL"/>
    <x v="1"/>
    <m/>
    <d v="2018-12-20T00:00:00"/>
    <d v="2021-12-20T00:00:00"/>
    <d v="2019-02-01T00:00:00"/>
    <d v="2020-05-04T00:00:00"/>
    <x v="1"/>
    <x v="0"/>
    <x v="0"/>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x v="6"/>
  </r>
  <r>
    <s v="18/2235/VRC"/>
    <x v="1"/>
    <m/>
    <d v="2018-09-25T00:00:00"/>
    <d v="2021-09-25T00:00:00"/>
    <d v="2019-10-01T00:00:00"/>
    <m/>
    <x v="1"/>
    <x v="0"/>
    <x v="0"/>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x v="8"/>
  </r>
  <r>
    <s v="18/2322/FUL"/>
    <x v="1"/>
    <m/>
    <d v="2018-11-13T00:00:00"/>
    <d v="2022-05-30T00:00:00"/>
    <d v="2020-01-13T00:00:00"/>
    <m/>
    <x v="1"/>
    <x v="0"/>
    <x v="0"/>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x v="9"/>
  </r>
  <r>
    <s v="18/2494/FUL"/>
    <x v="0"/>
    <m/>
    <d v="2019-03-22T00:00:00"/>
    <d v="2022-03-22T00:00:00"/>
    <d v="2020-01-29T00:00:00"/>
    <m/>
    <x v="1"/>
    <x v="0"/>
    <x v="0"/>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x v="7"/>
  </r>
  <r>
    <s v="18/2928/FUL"/>
    <x v="1"/>
    <m/>
    <d v="2019-03-08T00:00:00"/>
    <d v="2022-03-08T00:00:00"/>
    <d v="2019-03-29T00:00:00"/>
    <m/>
    <x v="1"/>
    <x v="0"/>
    <x v="0"/>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x v="0"/>
  </r>
  <r>
    <s v="18/3515/FUL"/>
    <x v="2"/>
    <m/>
    <d v="2019-02-18T00:00:00"/>
    <d v="2022-02-18T00:00:00"/>
    <d v="2019-10-01T00:00:00"/>
    <d v="2020-08-13T00:00:00"/>
    <x v="1"/>
    <x v="0"/>
    <x v="0"/>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x v="7"/>
  </r>
  <r>
    <s v="18/3768/FUL"/>
    <x v="1"/>
    <m/>
    <d v="2019-03-26T00:00:00"/>
    <d v="2022-03-26T00:00:00"/>
    <d v="2020-01-13T00:00:00"/>
    <m/>
    <x v="1"/>
    <x v="0"/>
    <x v="0"/>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x v="8"/>
  </r>
  <r>
    <s v="18/3804/FUL"/>
    <x v="0"/>
    <m/>
    <d v="2019-05-14T00:00:00"/>
    <d v="2022-05-14T00:00:00"/>
    <d v="2019-10-17T00:00:00"/>
    <m/>
    <x v="1"/>
    <x v="0"/>
    <x v="0"/>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x v="8"/>
  </r>
  <r>
    <s v="18/3815/GPD15"/>
    <x v="1"/>
    <s v="PA"/>
    <d v="2019-01-18T00:00:00"/>
    <d v="2022-01-18T00:00:00"/>
    <d v="2019-11-15T00:00:00"/>
    <m/>
    <x v="1"/>
    <x v="0"/>
    <x v="0"/>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x v="3"/>
  </r>
  <r>
    <s v="18/3941/GPD15"/>
    <x v="1"/>
    <s v="PA"/>
    <d v="2019-01-30T00:00:00"/>
    <d v="2022-01-30T00:00:00"/>
    <d v="2019-09-14T00:00:00"/>
    <d v="2020-09-02T00:00:00"/>
    <x v="1"/>
    <x v="0"/>
    <x v="0"/>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x v="9"/>
  </r>
  <r>
    <s v="19/0092/FUL"/>
    <x v="3"/>
    <m/>
    <d v="2019-07-03T00:00:00"/>
    <d v="2022-07-03T00:00:00"/>
    <d v="2019-08-14T00:00:00"/>
    <d v="2020-09-15T00:00:00"/>
    <x v="1"/>
    <x v="0"/>
    <x v="0"/>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x v="13"/>
  </r>
  <r>
    <s v="19/0111/FUL"/>
    <x v="3"/>
    <m/>
    <d v="2019-12-12T00:00:00"/>
    <d v="2022-12-12T00:00:00"/>
    <d v="2020-03-30T00:00:00"/>
    <m/>
    <x v="1"/>
    <x v="0"/>
    <x v="0"/>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x v="3"/>
  </r>
  <r>
    <s v="19/0181/GPD15"/>
    <x v="1"/>
    <s v="PA"/>
    <d v="2019-03-06T00:00:00"/>
    <d v="2022-03-06T00:00:00"/>
    <d v="2019-05-13T00:00:00"/>
    <d v="2020-07-02T00:00:00"/>
    <x v="1"/>
    <x v="0"/>
    <x v="0"/>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x v="7"/>
  </r>
  <r>
    <s v="19/0347/GPD15"/>
    <x v="1"/>
    <s v="PA"/>
    <d v="2019-03-12T00:00:00"/>
    <d v="2022-03-13T00:00:00"/>
    <d v="2019-04-01T00:00:00"/>
    <m/>
    <x v="1"/>
    <x v="0"/>
    <x v="0"/>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x v="5"/>
  </r>
  <r>
    <s v="19/0386/FUL"/>
    <x v="0"/>
    <m/>
    <d v="2019-07-05T00:00:00"/>
    <d v="2022-07-05T00:00:00"/>
    <d v="2020-01-06T00:00:00"/>
    <m/>
    <x v="1"/>
    <x v="0"/>
    <x v="0"/>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x v="13"/>
  </r>
  <r>
    <s v="19/0551/FUL"/>
    <x v="2"/>
    <m/>
    <d v="2019-08-21T00:00:00"/>
    <d v="2022-08-21T00:00:00"/>
    <d v="2019-11-04T00:00:00"/>
    <m/>
    <x v="1"/>
    <x v="0"/>
    <x v="0"/>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x v="12"/>
  </r>
  <r>
    <s v="19/0772/GPD15"/>
    <x v="1"/>
    <s v="PA"/>
    <d v="2019-05-09T00:00:00"/>
    <d v="2022-05-09T00:00:00"/>
    <d v="2020-03-02T00:00:00"/>
    <m/>
    <x v="1"/>
    <x v="0"/>
    <x v="0"/>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x v="2"/>
  </r>
  <r>
    <s v="19/0867/FUL"/>
    <x v="3"/>
    <m/>
    <d v="2019-06-03T00:00:00"/>
    <d v="2022-06-04T00:00:00"/>
    <d v="2019-09-23T00:00:00"/>
    <d v="2020-06-04T00:00:00"/>
    <x v="1"/>
    <x v="0"/>
    <x v="0"/>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x v="1"/>
  </r>
  <r>
    <s v="19/0893/FUL"/>
    <x v="1"/>
    <m/>
    <d v="2019-08-12T00:00:00"/>
    <d v="2022-08-12T00:00:00"/>
    <d v="2020-02-03T00:00:00"/>
    <m/>
    <x v="1"/>
    <x v="0"/>
    <x v="0"/>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x v="9"/>
  </r>
  <r>
    <s v="19/0950/FUL"/>
    <x v="1"/>
    <m/>
    <d v="2019-08-13T00:00:00"/>
    <d v="2022-08-13T00:00:00"/>
    <d v="2020-01-28T00:00:00"/>
    <m/>
    <x v="1"/>
    <x v="0"/>
    <x v="0"/>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x v="4"/>
  </r>
  <r>
    <s v="19/0954/VRC"/>
    <x v="0"/>
    <m/>
    <d v="2019-10-16T00:00:00"/>
    <d v="2020-10-06T00:00:00"/>
    <d v="2019-07-24T00:00:00"/>
    <m/>
    <x v="1"/>
    <x v="0"/>
    <x v="0"/>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x v="4"/>
  </r>
  <r>
    <s v="19/0974/FUL"/>
    <x v="2"/>
    <m/>
    <d v="2019-08-02T00:00:00"/>
    <d v="2022-08-02T00:00:00"/>
    <d v="2020-02-11T00:00:00"/>
    <m/>
    <x v="1"/>
    <x v="0"/>
    <x v="0"/>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x v="3"/>
  </r>
  <r>
    <s v="19/1332/GPD13"/>
    <x v="1"/>
    <s v="PA"/>
    <d v="2019-07-11T00:00:00"/>
    <d v="2022-07-11T00:00:00"/>
    <d v="2019-08-01T00:00:00"/>
    <d v="2020-06-05T00:00:00"/>
    <x v="1"/>
    <x v="0"/>
    <x v="0"/>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x v="13"/>
  </r>
  <r>
    <s v="19/1455/FUL"/>
    <x v="2"/>
    <m/>
    <d v="2019-08-06T00:00:00"/>
    <d v="2022-08-06T00:00:00"/>
    <d v="2020-01-16T00:00:00"/>
    <m/>
    <x v="1"/>
    <x v="0"/>
    <x v="0"/>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x v="7"/>
  </r>
  <r>
    <s v="19/1502/FUL"/>
    <x v="1"/>
    <m/>
    <d v="2019-07-22T00:00:00"/>
    <d v="2022-07-22T00:00:00"/>
    <d v="2019-09-19T00:00:00"/>
    <d v="2020-07-30T00:00:00"/>
    <x v="1"/>
    <x v="0"/>
    <x v="0"/>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x v="6"/>
  </r>
  <r>
    <s v="19/1620/GPD15"/>
    <x v="1"/>
    <s v="PA"/>
    <d v="2019-07-26T00:00:00"/>
    <d v="2021-04-03T00:00:00"/>
    <m/>
    <d v="2020-04-20T00:00:00"/>
    <x v="1"/>
    <x v="0"/>
    <x v="0"/>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x v="12"/>
  </r>
  <r>
    <s v="19/1622/FUL"/>
    <x v="1"/>
    <m/>
    <d v="2019-10-18T00:00:00"/>
    <d v="2022-10-18T00:00:00"/>
    <d v="2020-03-31T00:00:00"/>
    <m/>
    <x v="1"/>
    <x v="0"/>
    <x v="0"/>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x v="2"/>
  </r>
  <r>
    <s v="19/1978/FUL"/>
    <x v="2"/>
    <m/>
    <d v="2019-11-11T00:00:00"/>
    <d v="2022-11-11T00:00:00"/>
    <d v="2019-11-18T00:00:00"/>
    <m/>
    <x v="1"/>
    <x v="0"/>
    <x v="0"/>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x v="4"/>
  </r>
  <r>
    <s v="19/2377/GPD15"/>
    <x v="1"/>
    <s v="PA"/>
    <d v="2019-09-30T00:00:00"/>
    <d v="2022-09-30T00:00:00"/>
    <d v="2020-02-17T00:00:00"/>
    <m/>
    <x v="1"/>
    <x v="0"/>
    <x v="0"/>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x v="1"/>
  </r>
  <r>
    <s v="19/3852/GPD15"/>
    <x v="1"/>
    <s v="PA"/>
    <d v="2020-02-06T00:00:00"/>
    <d v="2023-02-06T00:00:00"/>
    <d v="2020-02-10T00:00:00"/>
    <m/>
    <x v="1"/>
    <x v="0"/>
    <x v="0"/>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x v="6"/>
  </r>
  <r>
    <s v="19/3913/GPD15"/>
    <x v="1"/>
    <s v="PA"/>
    <d v="2020-02-14T00:00:00"/>
    <d v="2020-06-30T00:00:00"/>
    <d v="2020-03-02T00:00:00"/>
    <m/>
    <x v="1"/>
    <x v="0"/>
    <x v="0"/>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x v="1"/>
  </r>
  <r>
    <s v="19/1669/FUL"/>
    <x v="1"/>
    <m/>
    <d v="2019-08-23T00:00:00"/>
    <d v="2022-08-23T00:00:00"/>
    <d v="2019-11-11T00:00:00"/>
    <m/>
    <x v="1"/>
    <x v="0"/>
    <x v="0"/>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x v="15"/>
  </r>
  <r>
    <s v="15/2204/FUL"/>
    <x v="0"/>
    <m/>
    <d v="2018-07-03T00:00:00"/>
    <d v="2021-07-03T00:00:00"/>
    <m/>
    <m/>
    <x v="2"/>
    <x v="0"/>
    <x v="0"/>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x v="13"/>
  </r>
  <r>
    <s v="15/3296/FUL"/>
    <x v="0"/>
    <m/>
    <d v="2019-08-13T00:00:00"/>
    <d v="2022-08-13T00:00:00"/>
    <m/>
    <m/>
    <x v="2"/>
    <x v="1"/>
    <x v="0"/>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x v="3"/>
  </r>
  <r>
    <s v="15/3297/FUL"/>
    <x v="0"/>
    <m/>
    <d v="2019-08-13T00:00:00"/>
    <d v="2022-08-13T00:00:00"/>
    <m/>
    <m/>
    <x v="2"/>
    <x v="1"/>
    <x v="0"/>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x v="3"/>
  </r>
  <r>
    <s v="15/4581/FUL"/>
    <x v="0"/>
    <m/>
    <d v="2018-04-23T00:00:00"/>
    <d v="2021-04-23T00:00:00"/>
    <m/>
    <m/>
    <x v="2"/>
    <x v="0"/>
    <x v="0"/>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x v="8"/>
  </r>
  <r>
    <s v="15/4586/FUL"/>
    <x v="0"/>
    <m/>
    <d v="2017-07-11T00:00:00"/>
    <d v="2020-07-11T00:00:00"/>
    <m/>
    <m/>
    <x v="2"/>
    <x v="0"/>
    <x v="0"/>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x v="5"/>
  </r>
  <r>
    <s v="16/0510/FUL"/>
    <x v="1"/>
    <m/>
    <d v="2018-07-19T00:00:00"/>
    <d v="2021-07-19T00:00:00"/>
    <m/>
    <m/>
    <x v="2"/>
    <x v="0"/>
    <x v="0"/>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x v="4"/>
  </r>
  <r>
    <s v="16/0606/FUL"/>
    <x v="3"/>
    <m/>
    <d v="2017-09-05T00:00:00"/>
    <d v="2020-09-05T00:00:00"/>
    <m/>
    <m/>
    <x v="2"/>
    <x v="0"/>
    <x v="0"/>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x v="8"/>
  </r>
  <r>
    <s v="16/0647/FUL"/>
    <x v="0"/>
    <m/>
    <d v="2017-05-30T00:00:00"/>
    <d v="2021-04-16T00:00:00"/>
    <m/>
    <m/>
    <x v="2"/>
    <x v="0"/>
    <x v="0"/>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x v="3"/>
  </r>
  <r>
    <s v="16/2288/FUL"/>
    <x v="4"/>
    <m/>
    <d v="2018-08-22T00:00:00"/>
    <d v="2021-08-22T00:00:00"/>
    <d v="2020-09-15T00:00:00"/>
    <m/>
    <x v="2"/>
    <x v="0"/>
    <x v="0"/>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x v="11"/>
  </r>
  <r>
    <s v="16/2704/FUL"/>
    <x v="0"/>
    <m/>
    <d v="2018-01-25T00:00:00"/>
    <d v="2021-01-25T00:00:00"/>
    <m/>
    <m/>
    <x v="2"/>
    <x v="0"/>
    <x v="0"/>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x v="4"/>
  </r>
  <r>
    <s v="16/2736/FUL"/>
    <x v="0"/>
    <m/>
    <d v="2017-05-26T00:00:00"/>
    <d v="2020-05-26T00:00:00"/>
    <m/>
    <m/>
    <x v="2"/>
    <x v="0"/>
    <x v="0"/>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x v="15"/>
  </r>
  <r>
    <s v="16/2822/FUL"/>
    <x v="4"/>
    <m/>
    <d v="2017-05-11T00:00:00"/>
    <d v="2020-05-11T00:00:00"/>
    <m/>
    <m/>
    <x v="2"/>
    <x v="0"/>
    <x v="0"/>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x v="2"/>
  </r>
  <r>
    <s v="16/4384/FUL"/>
    <x v="0"/>
    <m/>
    <d v="2017-10-27T00:00:00"/>
    <d v="2020-10-27T00:00:00"/>
    <m/>
    <m/>
    <x v="2"/>
    <x v="0"/>
    <x v="0"/>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x v="6"/>
  </r>
  <r>
    <s v="16/4553/FUL"/>
    <x v="0"/>
    <m/>
    <d v="2018-05-31T00:00:00"/>
    <d v="2021-05-31T00:00:00"/>
    <m/>
    <m/>
    <x v="2"/>
    <x v="0"/>
    <x v="1"/>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x v="11"/>
  </r>
  <r>
    <s v="16/4587/FUL"/>
    <x v="1"/>
    <m/>
    <d v="2017-06-27T00:00:00"/>
    <d v="2020-06-27T00:00:00"/>
    <d v="2020-06-02T00:00:00"/>
    <m/>
    <x v="2"/>
    <x v="0"/>
    <x v="0"/>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x v="7"/>
  </r>
  <r>
    <s v="17/0315/FUL"/>
    <x v="3"/>
    <m/>
    <d v="2018-06-12T00:00:00"/>
    <d v="2021-06-12T00:00:00"/>
    <m/>
    <m/>
    <x v="2"/>
    <x v="0"/>
    <x v="0"/>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x v="10"/>
  </r>
  <r>
    <s v="17/0341/GPD13"/>
    <x v="1"/>
    <s v="PA"/>
    <d v="2017-04-24T00:00:00"/>
    <d v="2020-04-24T00:00:00"/>
    <m/>
    <m/>
    <x v="2"/>
    <x v="0"/>
    <x v="0"/>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x v="0"/>
  </r>
  <r>
    <s v="17/0346/FUL"/>
    <x v="2"/>
    <m/>
    <d v="2017-08-31T00:00:00"/>
    <d v="2020-08-31T00:00:00"/>
    <m/>
    <m/>
    <x v="2"/>
    <x v="0"/>
    <x v="0"/>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x v="12"/>
  </r>
  <r>
    <s v="17/0600/FUL"/>
    <x v="1"/>
    <m/>
    <d v="2018-01-19T00:00:00"/>
    <d v="2021-01-19T00:00:00"/>
    <m/>
    <m/>
    <x v="2"/>
    <x v="0"/>
    <x v="0"/>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x v="10"/>
  </r>
  <r>
    <s v="17/0788/FUL"/>
    <x v="0"/>
    <m/>
    <d v="2017-11-17T00:00:00"/>
    <d v="2021-01-08T00:00:00"/>
    <m/>
    <m/>
    <x v="2"/>
    <x v="0"/>
    <x v="0"/>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x v="0"/>
  </r>
  <r>
    <s v="17/0798/FUL"/>
    <x v="0"/>
    <m/>
    <d v="2017-12-01T00:00:00"/>
    <d v="2020-12-01T00:00:00"/>
    <m/>
    <m/>
    <x v="2"/>
    <x v="0"/>
    <x v="0"/>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x v="13"/>
  </r>
  <r>
    <s v="17/1033/FUL"/>
    <x v="0"/>
    <m/>
    <d v="2017-09-19T00:00:00"/>
    <d v="2021-05-23T00:00:00"/>
    <m/>
    <m/>
    <x v="2"/>
    <x v="0"/>
    <x v="0"/>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x v="5"/>
  </r>
  <r>
    <s v="17/1139/GPD15"/>
    <x v="1"/>
    <s v="PA"/>
    <d v="2017-05-31T00:00:00"/>
    <d v="2020-05-31T00:00:00"/>
    <m/>
    <m/>
    <x v="2"/>
    <x v="0"/>
    <x v="0"/>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x v="10"/>
  </r>
  <r>
    <s v="17/1390/FUL"/>
    <x v="0"/>
    <m/>
    <d v="2018-11-15T00:00:00"/>
    <d v="2022-05-14T00:00:00"/>
    <m/>
    <m/>
    <x v="2"/>
    <x v="0"/>
    <x v="0"/>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x v="1"/>
  </r>
  <r>
    <s v="17/1550/FUL"/>
    <x v="0"/>
    <m/>
    <d v="2018-07-09T00:00:00"/>
    <d v="2021-07-09T00:00:00"/>
    <m/>
    <m/>
    <x v="2"/>
    <x v="0"/>
    <x v="0"/>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x v="3"/>
  </r>
  <r>
    <s v="17/1782/FUL"/>
    <x v="0"/>
    <m/>
    <d v="2019-01-14T00:00:00"/>
    <d v="2022-01-14T00:00:00"/>
    <m/>
    <m/>
    <x v="2"/>
    <x v="0"/>
    <x v="0"/>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x v="3"/>
  </r>
  <r>
    <s v="17/2314/FUL"/>
    <x v="0"/>
    <m/>
    <d v="2018-04-26T00:00:00"/>
    <d v="2021-04-26T00:00:00"/>
    <m/>
    <m/>
    <x v="2"/>
    <x v="0"/>
    <x v="0"/>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x v="16"/>
  </r>
  <r>
    <s v="17/2532/GPD15"/>
    <x v="1"/>
    <s v="PA"/>
    <d v="2017-08-09T00:00:00"/>
    <d v="2020-08-09T00:00:00"/>
    <d v="2020-06-01T00:00:00"/>
    <m/>
    <x v="2"/>
    <x v="0"/>
    <x v="0"/>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x v="9"/>
  </r>
  <r>
    <s v="17/2586/FUL"/>
    <x v="2"/>
    <m/>
    <d v="2017-09-27T00:00:00"/>
    <d v="2020-09-27T00:00:00"/>
    <m/>
    <m/>
    <x v="2"/>
    <x v="0"/>
    <x v="0"/>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x v="7"/>
  </r>
  <r>
    <s v="17/2597/GPD15"/>
    <x v="1"/>
    <s v="PA"/>
    <d v="2017-08-30T00:00:00"/>
    <d v="2020-08-30T00:00:00"/>
    <m/>
    <m/>
    <x v="2"/>
    <x v="0"/>
    <x v="0"/>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x v="7"/>
  </r>
  <r>
    <s v="17/2680/FUL"/>
    <x v="0"/>
    <m/>
    <d v="2017-12-11T00:00:00"/>
    <d v="2021-03-14T00:00:00"/>
    <d v="2020-06-01T00:00:00"/>
    <m/>
    <x v="2"/>
    <x v="0"/>
    <x v="0"/>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x v="8"/>
  </r>
  <r>
    <s v="17/2693/GPD15"/>
    <x v="1"/>
    <s v="PA"/>
    <d v="2017-09-08T00:00:00"/>
    <d v="2020-09-08T00:00:00"/>
    <m/>
    <m/>
    <x v="2"/>
    <x v="0"/>
    <x v="0"/>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x v="7"/>
  </r>
  <r>
    <s v="17/2872/FUL"/>
    <x v="0"/>
    <m/>
    <d v="2019-05-30T00:00:00"/>
    <d v="2022-05-20T00:00:00"/>
    <m/>
    <m/>
    <x v="2"/>
    <x v="0"/>
    <x v="0"/>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x v="8"/>
  </r>
  <r>
    <s v="17/2957/FUL"/>
    <x v="2"/>
    <m/>
    <d v="2017-12-20T00:00:00"/>
    <d v="2020-12-20T00:00:00"/>
    <m/>
    <m/>
    <x v="2"/>
    <x v="0"/>
    <x v="0"/>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x v="11"/>
  </r>
  <r>
    <s v="17/3001/GPD16"/>
    <x v="1"/>
    <s v="PA"/>
    <d v="2017-09-27T00:00:00"/>
    <d v="2021-06-07T00:00:00"/>
    <m/>
    <m/>
    <x v="2"/>
    <x v="0"/>
    <x v="0"/>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x v="0"/>
  </r>
  <r>
    <s v="17/3003/GPD16"/>
    <x v="1"/>
    <s v="PA"/>
    <d v="2017-09-27T00:00:00"/>
    <d v="2021-06-07T00:00:00"/>
    <m/>
    <m/>
    <x v="2"/>
    <x v="0"/>
    <x v="0"/>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x v="0"/>
  </r>
  <r>
    <s v="17/3054/FUL"/>
    <x v="0"/>
    <m/>
    <d v="2018-10-30T00:00:00"/>
    <d v="2021-10-30T00:00:00"/>
    <m/>
    <m/>
    <x v="2"/>
    <x v="0"/>
    <x v="0"/>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x v="10"/>
  </r>
  <r>
    <s v="17/3077/FUL"/>
    <x v="0"/>
    <m/>
    <d v="2018-03-15T00:00:00"/>
    <d v="2021-03-15T00:00:00"/>
    <d v="2020-05-04T00:00:00"/>
    <m/>
    <x v="2"/>
    <x v="0"/>
    <x v="0"/>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x v="10"/>
  </r>
  <r>
    <s v="17/3265/FUL"/>
    <x v="0"/>
    <m/>
    <d v="2018-01-15T00:00:00"/>
    <d v="2021-01-15T00:00:00"/>
    <m/>
    <m/>
    <x v="2"/>
    <x v="0"/>
    <x v="0"/>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x v="17"/>
  </r>
  <r>
    <s v="17/3402/GPD16"/>
    <x v="1"/>
    <s v="PA"/>
    <d v="2017-11-03T00:00:00"/>
    <d v="2020-11-03T00:00:00"/>
    <m/>
    <m/>
    <x v="2"/>
    <x v="0"/>
    <x v="0"/>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x v="0"/>
  </r>
  <r>
    <s v="17/3404/FUL"/>
    <x v="1"/>
    <m/>
    <d v="2018-02-01T00:00:00"/>
    <d v="2021-02-02T00:00:00"/>
    <m/>
    <m/>
    <x v="2"/>
    <x v="0"/>
    <x v="0"/>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x v="11"/>
  </r>
  <r>
    <s v="17/3590/FUL"/>
    <x v="0"/>
    <m/>
    <d v="2018-07-26T00:00:00"/>
    <d v="2021-07-26T00:00:00"/>
    <m/>
    <m/>
    <x v="2"/>
    <x v="0"/>
    <x v="0"/>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x v="11"/>
  </r>
  <r>
    <s v="17/3610/FUL"/>
    <x v="3"/>
    <m/>
    <d v="2018-03-23T00:00:00"/>
    <d v="2021-03-23T00:00:00"/>
    <m/>
    <m/>
    <x v="2"/>
    <x v="0"/>
    <x v="0"/>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x v="17"/>
  </r>
  <r>
    <s v="17/3696/GPD16"/>
    <x v="1"/>
    <s v="PA"/>
    <d v="2017-12-22T00:00:00"/>
    <d v="2020-12-22T00:00:00"/>
    <m/>
    <m/>
    <x v="2"/>
    <x v="0"/>
    <x v="0"/>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x v="7"/>
  </r>
  <r>
    <s v="17/3795/GPD15"/>
    <x v="1"/>
    <s v="PA"/>
    <d v="2017-12-11T00:00:00"/>
    <d v="2020-12-11T00:00:00"/>
    <m/>
    <m/>
    <x v="2"/>
    <x v="0"/>
    <x v="0"/>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x v="0"/>
  </r>
  <r>
    <s v="17/4005/FUL"/>
    <x v="3"/>
    <m/>
    <d v="2020-03-05T00:00:00"/>
    <d v="2023-03-05T00:00:00"/>
    <m/>
    <m/>
    <x v="2"/>
    <x v="0"/>
    <x v="0"/>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x v="4"/>
  </r>
  <r>
    <s v="17/4014/FUL"/>
    <x v="1"/>
    <m/>
    <d v="2018-11-30T00:00:00"/>
    <d v="2022-03-19T00:00:00"/>
    <m/>
    <m/>
    <x v="2"/>
    <x v="0"/>
    <x v="0"/>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x v="5"/>
  </r>
  <r>
    <s v="17/4015/FUL"/>
    <x v="0"/>
    <m/>
    <d v="2018-10-03T00:00:00"/>
    <d v="2021-10-03T00:00:00"/>
    <m/>
    <m/>
    <x v="2"/>
    <x v="0"/>
    <x v="0"/>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x v="4"/>
  </r>
  <r>
    <s v="17/4114/PS192"/>
    <x v="1"/>
    <s v="PA"/>
    <d v="2017-12-28T00:00:00"/>
    <d v="2020-12-28T00:00:00"/>
    <m/>
    <m/>
    <x v="2"/>
    <x v="0"/>
    <x v="0"/>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x v="0"/>
  </r>
  <r>
    <s v="17/4122/FUL"/>
    <x v="0"/>
    <m/>
    <d v="2018-12-21T00:00:00"/>
    <d v="2021-12-21T00:00:00"/>
    <m/>
    <m/>
    <x v="2"/>
    <x v="0"/>
    <x v="0"/>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x v="6"/>
  </r>
  <r>
    <s v="17/4292/FUL"/>
    <x v="4"/>
    <m/>
    <d v="2018-01-25T00:00:00"/>
    <d v="2021-01-25T00:00:00"/>
    <m/>
    <m/>
    <x v="2"/>
    <x v="0"/>
    <x v="0"/>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x v="12"/>
  </r>
  <r>
    <s v="17/4344/FUL"/>
    <x v="1"/>
    <m/>
    <d v="2018-03-09T00:00:00"/>
    <d v="2021-03-09T00:00:00"/>
    <m/>
    <m/>
    <x v="2"/>
    <x v="0"/>
    <x v="0"/>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x v="4"/>
  </r>
  <r>
    <s v="17/4422/GPD15"/>
    <x v="1"/>
    <s v="PA"/>
    <d v="2018-02-05T00:00:00"/>
    <d v="2021-02-05T00:00:00"/>
    <m/>
    <m/>
    <x v="2"/>
    <x v="0"/>
    <x v="0"/>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x v="0"/>
  </r>
  <r>
    <s v="17/4453/FUL"/>
    <x v="3"/>
    <m/>
    <d v="2018-05-10T00:00:00"/>
    <d v="2021-05-10T00:00:00"/>
    <m/>
    <m/>
    <x v="2"/>
    <x v="0"/>
    <x v="0"/>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x v="9"/>
  </r>
  <r>
    <s v="17/4477/FUL"/>
    <x v="2"/>
    <m/>
    <d v="2019-05-23T00:00:00"/>
    <d v="2022-05-23T00:00:00"/>
    <m/>
    <m/>
    <x v="2"/>
    <x v="0"/>
    <x v="0"/>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x v="4"/>
  </r>
  <r>
    <s v="18/0268/FUL"/>
    <x v="0"/>
    <m/>
    <d v="2018-05-31T00:00:00"/>
    <d v="2021-05-31T00:00:00"/>
    <m/>
    <m/>
    <x v="2"/>
    <x v="0"/>
    <x v="0"/>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x v="11"/>
  </r>
  <r>
    <s v="18/0301/FUL"/>
    <x v="0"/>
    <m/>
    <d v="2018-12-18T00:00:00"/>
    <d v="2021-12-18T00:00:00"/>
    <m/>
    <m/>
    <x v="2"/>
    <x v="0"/>
    <x v="0"/>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x v="15"/>
  </r>
  <r>
    <s v="18/0315/FUL"/>
    <x v="0"/>
    <m/>
    <d v="2019-06-20T00:00:00"/>
    <d v="2022-06-20T00:00:00"/>
    <m/>
    <m/>
    <x v="2"/>
    <x v="0"/>
    <x v="0"/>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x v="16"/>
  </r>
  <r>
    <s v="18/0584/GPD15"/>
    <x v="1"/>
    <s v="PA"/>
    <d v="2018-04-17T00:00:00"/>
    <d v="2021-05-17T00:00:00"/>
    <m/>
    <m/>
    <x v="2"/>
    <x v="0"/>
    <x v="0"/>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x v="11"/>
  </r>
  <r>
    <s v="18/0723/FUL"/>
    <x v="0"/>
    <m/>
    <d v="2018-10-04T00:00:00"/>
    <d v="2021-10-04T00:00:00"/>
    <d v="2020-06-23T00:00:00"/>
    <m/>
    <x v="2"/>
    <x v="0"/>
    <x v="0"/>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x v="4"/>
  </r>
  <r>
    <s v="18/0866/FUL"/>
    <x v="4"/>
    <m/>
    <d v="2018-11-05T00:00:00"/>
    <d v="2021-11-06T00:00:00"/>
    <m/>
    <m/>
    <x v="2"/>
    <x v="0"/>
    <x v="0"/>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x v="12"/>
  </r>
  <r>
    <s v="18/1022/FUL"/>
    <x v="2"/>
    <m/>
    <d v="2018-11-27T00:00:00"/>
    <d v="2021-11-27T00:00:00"/>
    <m/>
    <m/>
    <x v="2"/>
    <x v="0"/>
    <x v="0"/>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x v="0"/>
  </r>
  <r>
    <s v="18/1038/FUL"/>
    <x v="0"/>
    <m/>
    <d v="2019-02-04T00:00:00"/>
    <d v="2022-02-04T00:00:00"/>
    <m/>
    <m/>
    <x v="2"/>
    <x v="0"/>
    <x v="0"/>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x v="7"/>
  </r>
  <r>
    <s v="18/1064/GPD15"/>
    <x v="1"/>
    <s v="PA"/>
    <d v="2018-05-22T00:00:00"/>
    <d v="2021-05-22T00:00:00"/>
    <m/>
    <m/>
    <x v="2"/>
    <x v="0"/>
    <x v="0"/>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x v="7"/>
  </r>
  <r>
    <s v="18/1114/FUL"/>
    <x v="3"/>
    <m/>
    <d v="2019-07-25T00:00:00"/>
    <d v="2022-07-25T00:00:00"/>
    <m/>
    <m/>
    <x v="2"/>
    <x v="0"/>
    <x v="0"/>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x v="11"/>
  </r>
  <r>
    <s v="18/1248/FUL"/>
    <x v="1"/>
    <m/>
    <d v="2018-12-21T00:00:00"/>
    <d v="2021-12-21T00:00:00"/>
    <m/>
    <m/>
    <x v="2"/>
    <x v="0"/>
    <x v="0"/>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x v="12"/>
  </r>
  <r>
    <s v="18/1442/FUL"/>
    <x v="0"/>
    <m/>
    <d v="2019-01-07T00:00:00"/>
    <d v="2022-01-07T00:00:00"/>
    <m/>
    <m/>
    <x v="2"/>
    <x v="0"/>
    <x v="0"/>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x v="2"/>
  </r>
  <r>
    <s v="18/1446/FUL"/>
    <x v="0"/>
    <m/>
    <d v="2018-08-10T00:00:00"/>
    <d v="2021-08-10T00:00:00"/>
    <m/>
    <m/>
    <x v="2"/>
    <x v="0"/>
    <x v="0"/>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x v="5"/>
  </r>
  <r>
    <s v="18/1743/FUL"/>
    <x v="0"/>
    <m/>
    <d v="2018-10-12T00:00:00"/>
    <d v="2021-12-20T00:00:00"/>
    <m/>
    <m/>
    <x v="2"/>
    <x v="0"/>
    <x v="0"/>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x v="3"/>
  </r>
  <r>
    <s v="18/1911/FUL"/>
    <x v="4"/>
    <m/>
    <d v="2018-12-11T00:00:00"/>
    <d v="2021-12-11T00:00:00"/>
    <m/>
    <m/>
    <x v="2"/>
    <x v="0"/>
    <x v="0"/>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x v="10"/>
  </r>
  <r>
    <s v="18/2038/FUL"/>
    <x v="0"/>
    <m/>
    <d v="2019-02-12T00:00:00"/>
    <d v="2022-02-12T00:00:00"/>
    <m/>
    <m/>
    <x v="2"/>
    <x v="0"/>
    <x v="0"/>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x v="17"/>
  </r>
  <r>
    <s v="18/2328/GPD15"/>
    <x v="1"/>
    <s v="PA"/>
    <d v="2018-09-14T00:00:00"/>
    <d v="2021-09-14T00:00:00"/>
    <m/>
    <m/>
    <x v="2"/>
    <x v="0"/>
    <x v="0"/>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x v="0"/>
  </r>
  <r>
    <s v="18/2716/GPD13"/>
    <x v="1"/>
    <s v="PA"/>
    <d v="2018-10-08T00:00:00"/>
    <d v="2021-10-08T00:00:00"/>
    <m/>
    <m/>
    <x v="2"/>
    <x v="0"/>
    <x v="0"/>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x v="7"/>
  </r>
  <r>
    <s v="18/2943/FUL"/>
    <x v="4"/>
    <m/>
    <d v="2019-11-07T00:00:00"/>
    <d v="2022-11-07T00:00:00"/>
    <m/>
    <m/>
    <x v="2"/>
    <x v="0"/>
    <x v="0"/>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x v="8"/>
  </r>
  <r>
    <s v="18/3003/FUL"/>
    <x v="0"/>
    <m/>
    <d v="2019-05-24T00:00:00"/>
    <d v="2022-05-24T00:00:00"/>
    <m/>
    <m/>
    <x v="2"/>
    <x v="0"/>
    <x v="0"/>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x v="1"/>
  </r>
  <r>
    <s v="18/3195/GPD15"/>
    <x v="1"/>
    <s v="PA"/>
    <d v="2018-11-12T00:00:00"/>
    <d v="2021-11-12T00:00:00"/>
    <m/>
    <m/>
    <x v="2"/>
    <x v="0"/>
    <x v="0"/>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x v="7"/>
  </r>
  <r>
    <s v="18/3285/FUL"/>
    <x v="0"/>
    <m/>
    <d v="2019-03-18T00:00:00"/>
    <d v="2022-03-18T00:00:00"/>
    <m/>
    <m/>
    <x v="2"/>
    <x v="0"/>
    <x v="0"/>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x v="17"/>
  </r>
  <r>
    <s v="18/3460/FUL"/>
    <x v="2"/>
    <m/>
    <d v="2019-02-26T00:00:00"/>
    <d v="2022-02-26T00:00:00"/>
    <m/>
    <m/>
    <x v="2"/>
    <x v="0"/>
    <x v="0"/>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x v="4"/>
  </r>
  <r>
    <s v="18/3613/GPD15"/>
    <x v="1"/>
    <s v="PA"/>
    <d v="2018-12-28T00:00:00"/>
    <d v="2021-12-28T00:00:00"/>
    <m/>
    <m/>
    <x v="2"/>
    <x v="0"/>
    <x v="0"/>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x v="11"/>
  </r>
  <r>
    <s v="18/3696/FUL"/>
    <x v="1"/>
    <m/>
    <d v="2019-02-08T00:00:00"/>
    <d v="2022-02-08T00:00:00"/>
    <m/>
    <m/>
    <x v="2"/>
    <x v="0"/>
    <x v="0"/>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x v="5"/>
  </r>
  <r>
    <s v="18/3930/FUL"/>
    <x v="0"/>
    <m/>
    <d v="2019-10-17T00:00:00"/>
    <d v="2022-10-17T00:00:00"/>
    <m/>
    <m/>
    <x v="2"/>
    <x v="0"/>
    <x v="0"/>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x v="3"/>
  </r>
  <r>
    <s v="18/3950/FUL"/>
    <x v="1"/>
    <m/>
    <d v="2019-07-15T00:00:00"/>
    <d v="2022-07-15T00:00:00"/>
    <m/>
    <m/>
    <x v="2"/>
    <x v="1"/>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x v="12"/>
  </r>
  <r>
    <s v="18/3950/FUL"/>
    <x v="1"/>
    <m/>
    <d v="2019-07-15T00:00:00"/>
    <d v="2022-07-15T00:00:00"/>
    <m/>
    <m/>
    <x v="2"/>
    <x v="2"/>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x v="12"/>
  </r>
  <r>
    <s v="18/3950/FUL"/>
    <x v="1"/>
    <m/>
    <d v="2019-07-15T00:00:00"/>
    <d v="2022-07-15T00:00:00"/>
    <m/>
    <m/>
    <x v="2"/>
    <x v="0"/>
    <x v="0"/>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x v="12"/>
  </r>
  <r>
    <s v="18/3952/FUL"/>
    <x v="0"/>
    <m/>
    <d v="2019-03-29T00:00:00"/>
    <d v="2022-04-01T00:00:00"/>
    <m/>
    <m/>
    <x v="2"/>
    <x v="0"/>
    <x v="0"/>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x v="8"/>
  </r>
  <r>
    <s v="18/3954/FUL"/>
    <x v="0"/>
    <m/>
    <d v="2019-07-08T00:00:00"/>
    <d v="2022-06-24T00:00:00"/>
    <m/>
    <m/>
    <x v="2"/>
    <x v="0"/>
    <x v="0"/>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x v="4"/>
  </r>
  <r>
    <s v="18/4125/FUL"/>
    <x v="2"/>
    <m/>
    <d v="2019-02-06T00:00:00"/>
    <d v="2022-02-06T00:00:00"/>
    <m/>
    <m/>
    <x v="2"/>
    <x v="0"/>
    <x v="0"/>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x v="11"/>
  </r>
  <r>
    <s v="18/4138/FUL"/>
    <x v="0"/>
    <m/>
    <d v="2019-11-11T00:00:00"/>
    <d v="2022-11-11T00:00:00"/>
    <d v="2020-04-14T00:00:00"/>
    <m/>
    <x v="2"/>
    <x v="0"/>
    <x v="0"/>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x v="9"/>
  </r>
  <r>
    <s v="18/4183/FUL"/>
    <x v="0"/>
    <m/>
    <d v="2019-07-25T00:00:00"/>
    <d v="2022-07-25T00:00:00"/>
    <m/>
    <m/>
    <x v="2"/>
    <x v="0"/>
    <x v="0"/>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x v="6"/>
  </r>
  <r>
    <s v="18/4259/FUL"/>
    <x v="2"/>
    <m/>
    <d v="2019-09-23T00:00:00"/>
    <d v="2022-09-23T00:00:00"/>
    <m/>
    <m/>
    <x v="2"/>
    <x v="0"/>
    <x v="0"/>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x v="17"/>
  </r>
  <r>
    <s v="19/0171/GPD15"/>
    <x v="1"/>
    <s v="PA"/>
    <d v="2019-03-19T00:00:00"/>
    <d v="2022-03-19T00:00:00"/>
    <m/>
    <m/>
    <x v="2"/>
    <x v="0"/>
    <x v="0"/>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x v="17"/>
  </r>
  <r>
    <s v="19/0175/FUL"/>
    <x v="0"/>
    <m/>
    <d v="2019-05-09T00:00:00"/>
    <d v="2022-05-09T00:00:00"/>
    <m/>
    <m/>
    <x v="2"/>
    <x v="0"/>
    <x v="0"/>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x v="10"/>
  </r>
  <r>
    <s v="19/0228/FUL"/>
    <x v="2"/>
    <m/>
    <d v="2019-06-28T00:00:00"/>
    <d v="2022-06-28T00:00:00"/>
    <m/>
    <m/>
    <x v="2"/>
    <x v="0"/>
    <x v="0"/>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x v="12"/>
  </r>
  <r>
    <s v="19/0338/FUL"/>
    <x v="0"/>
    <m/>
    <d v="2019-05-24T00:00:00"/>
    <d v="2022-05-24T00:00:00"/>
    <m/>
    <m/>
    <x v="2"/>
    <x v="0"/>
    <x v="0"/>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x v="2"/>
  </r>
  <r>
    <s v="19/0382/FUL"/>
    <x v="0"/>
    <m/>
    <d v="2019-12-05T00:00:00"/>
    <d v="2022-12-05T00:00:00"/>
    <m/>
    <m/>
    <x v="2"/>
    <x v="0"/>
    <x v="0"/>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x v="5"/>
  </r>
  <r>
    <s v="19/0391/FUL"/>
    <x v="0"/>
    <m/>
    <d v="2020-02-20T00:00:00"/>
    <d v="2023-02-20T00:00:00"/>
    <m/>
    <m/>
    <x v="2"/>
    <x v="0"/>
    <x v="0"/>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x v="6"/>
  </r>
  <r>
    <s v="19/0414/FUL"/>
    <x v="0"/>
    <m/>
    <d v="2020-01-22T00:00:00"/>
    <d v="2023-01-23T00:00:00"/>
    <m/>
    <m/>
    <x v="2"/>
    <x v="0"/>
    <x v="0"/>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x v="14"/>
  </r>
  <r>
    <s v="19/0823/GPD13"/>
    <x v="1"/>
    <s v="PA"/>
    <d v="2019-05-07T00:00:00"/>
    <d v="2022-05-07T00:00:00"/>
    <m/>
    <m/>
    <x v="2"/>
    <x v="0"/>
    <x v="0"/>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x v="9"/>
  </r>
  <r>
    <s v="19/0847/FUL"/>
    <x v="0"/>
    <m/>
    <d v="2019-12-23T00:00:00"/>
    <d v="2022-12-24T00:00:00"/>
    <m/>
    <m/>
    <x v="2"/>
    <x v="0"/>
    <x v="0"/>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x v="0"/>
  </r>
  <r>
    <s v="19/0911/FUL"/>
    <x v="4"/>
    <m/>
    <d v="2020-01-17T00:00:00"/>
    <d v="2023-02-05T00:00:00"/>
    <m/>
    <m/>
    <x v="2"/>
    <x v="0"/>
    <x v="0"/>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x v="3"/>
  </r>
  <r>
    <s v="19/1029/FUL"/>
    <x v="4"/>
    <m/>
    <d v="2019-09-17T00:00:00"/>
    <d v="2022-09-17T00:00:00"/>
    <m/>
    <m/>
    <x v="2"/>
    <x v="0"/>
    <x v="0"/>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x v="11"/>
  </r>
  <r>
    <s v="19/1033/GPD23"/>
    <x v="1"/>
    <s v="PA"/>
    <d v="2019-06-05T00:00:00"/>
    <d v="2022-06-05T00:00:00"/>
    <m/>
    <m/>
    <x v="2"/>
    <x v="0"/>
    <x v="0"/>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x v="7"/>
  </r>
  <r>
    <s v="19/1098/FUL"/>
    <x v="0"/>
    <m/>
    <d v="2019-08-23T00:00:00"/>
    <d v="2022-08-27T00:00:00"/>
    <m/>
    <m/>
    <x v="2"/>
    <x v="0"/>
    <x v="0"/>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x v="7"/>
  </r>
  <r>
    <s v="19/1162/FUL"/>
    <x v="3"/>
    <m/>
    <d v="2020-03-20T00:00:00"/>
    <d v="2023-03-20T00:00:00"/>
    <m/>
    <m/>
    <x v="2"/>
    <x v="0"/>
    <x v="0"/>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x v="4"/>
  </r>
  <r>
    <s v="19/1219/FUL"/>
    <x v="0"/>
    <m/>
    <d v="2019-12-11T00:00:00"/>
    <d v="2022-12-11T00:00:00"/>
    <m/>
    <m/>
    <x v="2"/>
    <x v="0"/>
    <x v="0"/>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x v="7"/>
  </r>
  <r>
    <s v="19/1361/FUL"/>
    <x v="4"/>
    <m/>
    <d v="2019-07-16T00:00:00"/>
    <d v="2022-07-16T00:00:00"/>
    <d v="2020-06-17T00:00:00"/>
    <d v="2020-09-30T00:00:00"/>
    <x v="2"/>
    <x v="0"/>
    <x v="0"/>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x v="2"/>
  </r>
  <r>
    <s v="19/1602/GPD15"/>
    <x v="1"/>
    <s v="PA"/>
    <d v="2019-07-15T00:00:00"/>
    <d v="2022-07-15T00:00:00"/>
    <m/>
    <m/>
    <x v="2"/>
    <x v="0"/>
    <x v="0"/>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x v="11"/>
  </r>
  <r>
    <s v="19/1649/GPD15"/>
    <x v="1"/>
    <s v="PA"/>
    <d v="2019-07-16T00:00:00"/>
    <d v="2022-07-16T00:00:00"/>
    <m/>
    <m/>
    <x v="2"/>
    <x v="0"/>
    <x v="0"/>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x v="10"/>
  </r>
  <r>
    <s v="19/1703/FUL"/>
    <x v="1"/>
    <m/>
    <d v="2019-08-12T00:00:00"/>
    <d v="2022-12-27T00:00:00"/>
    <m/>
    <m/>
    <x v="2"/>
    <x v="0"/>
    <x v="0"/>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x v="2"/>
  </r>
  <r>
    <s v="19/1731/FUL"/>
    <x v="0"/>
    <m/>
    <d v="2019-08-21T00:00:00"/>
    <d v="2022-08-21T00:00:00"/>
    <m/>
    <m/>
    <x v="2"/>
    <x v="0"/>
    <x v="0"/>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x v="5"/>
  </r>
  <r>
    <s v="19/1759/FUL"/>
    <x v="2"/>
    <m/>
    <d v="2019-09-09T00:00:00"/>
    <d v="2022-09-16T00:00:00"/>
    <m/>
    <m/>
    <x v="2"/>
    <x v="0"/>
    <x v="0"/>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x v="11"/>
  </r>
  <r>
    <s v="19/1763/FUL"/>
    <x v="0"/>
    <m/>
    <d v="2019-09-23T00:00:00"/>
    <d v="2022-09-23T00:00:00"/>
    <m/>
    <m/>
    <x v="2"/>
    <x v="0"/>
    <x v="0"/>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x v="1"/>
  </r>
  <r>
    <s v="19/1895/FUL"/>
    <x v="4"/>
    <m/>
    <d v="2019-10-23T00:00:00"/>
    <d v="2022-10-23T00:00:00"/>
    <m/>
    <m/>
    <x v="2"/>
    <x v="0"/>
    <x v="0"/>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x v="15"/>
  </r>
  <r>
    <s v="19/1997/GPD23"/>
    <x v="1"/>
    <s v="PA"/>
    <d v="2019-08-29T00:00:00"/>
    <d v="2022-08-29T00:00:00"/>
    <m/>
    <m/>
    <x v="2"/>
    <x v="0"/>
    <x v="0"/>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x v="11"/>
  </r>
  <r>
    <s v="19/2102/FUL"/>
    <x v="4"/>
    <m/>
    <d v="2019-08-21T00:00:00"/>
    <d v="2022-08-27T00:00:00"/>
    <m/>
    <m/>
    <x v="2"/>
    <x v="0"/>
    <x v="0"/>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x v="3"/>
  </r>
  <r>
    <s v="19/2273/FUL"/>
    <x v="1"/>
    <m/>
    <d v="2019-12-23T00:00:00"/>
    <d v="2022-12-23T00:00:00"/>
    <m/>
    <m/>
    <x v="2"/>
    <x v="0"/>
    <x v="0"/>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x v="16"/>
  </r>
  <r>
    <s v="19/2300/FUL"/>
    <x v="0"/>
    <m/>
    <d v="2019-09-23T00:00:00"/>
    <d v="2022-09-23T00:00:00"/>
    <m/>
    <m/>
    <x v="2"/>
    <x v="0"/>
    <x v="0"/>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x v="12"/>
  </r>
  <r>
    <s v="19/2788/FUL"/>
    <x v="4"/>
    <m/>
    <d v="2020-01-31T00:00:00"/>
    <d v="2023-02-03T00:00:00"/>
    <m/>
    <m/>
    <x v="2"/>
    <x v="0"/>
    <x v="0"/>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x v="9"/>
  </r>
  <r>
    <s v="19/2796/GPD15"/>
    <x v="1"/>
    <s v="PA"/>
    <d v="2019-11-05T00:00:00"/>
    <d v="2022-07-05T00:00:00"/>
    <m/>
    <m/>
    <x v="2"/>
    <x v="0"/>
    <x v="0"/>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x v="6"/>
  </r>
  <r>
    <s v="19/3025/FUL"/>
    <x v="1"/>
    <m/>
    <d v="2020-01-29T00:00:00"/>
    <d v="2023-01-29T00:00:00"/>
    <m/>
    <m/>
    <x v="2"/>
    <x v="0"/>
    <x v="0"/>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x v="10"/>
  </r>
  <r>
    <s v="19/3101/GPD23"/>
    <x v="1"/>
    <s v="PA"/>
    <d v="2019-11-18T00:00:00"/>
    <d v="2022-11-18T00:00:00"/>
    <m/>
    <m/>
    <x v="2"/>
    <x v="0"/>
    <x v="0"/>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x v="11"/>
  </r>
  <r>
    <s v="19/3419/FUL"/>
    <x v="0"/>
    <m/>
    <d v="2020-03-11T00:00:00"/>
    <d v="2023-03-11T00:00:00"/>
    <m/>
    <m/>
    <x v="2"/>
    <x v="0"/>
    <x v="0"/>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x v="15"/>
  </r>
  <r>
    <s v="20/0136/FUL"/>
    <x v="0"/>
    <m/>
    <d v="2020-03-26T00:00:00"/>
    <d v="2021-12-21T00:00:00"/>
    <m/>
    <m/>
    <x v="2"/>
    <x v="0"/>
    <x v="0"/>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x v="17"/>
  </r>
  <r>
    <s v="20/0373/PS192"/>
    <x v="1"/>
    <s v="PA"/>
    <d v="2020-02-17T00:00:00"/>
    <d v="2020-02-18T00:00:00"/>
    <m/>
    <m/>
    <x v="2"/>
    <x v="0"/>
    <x v="0"/>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x v="7"/>
  </r>
  <r>
    <s v="Site Allocation"/>
    <x v="0"/>
    <m/>
    <m/>
    <m/>
    <m/>
    <m/>
    <x v="3"/>
    <x v="4"/>
    <x v="0"/>
    <m/>
    <s v="Sainsbury’s, Manor Road/Lower Richmond Road"/>
    <m/>
    <m/>
    <m/>
    <m/>
    <m/>
    <m/>
    <m/>
    <m/>
    <m/>
    <m/>
    <m/>
    <m/>
    <m/>
    <m/>
    <m/>
    <m/>
    <m/>
    <m/>
    <m/>
    <m/>
    <m/>
    <m/>
    <m/>
    <m/>
    <m/>
    <m/>
    <m/>
    <m/>
    <n v="0"/>
    <m/>
    <n v="0"/>
    <n v="0"/>
    <n v="0"/>
    <n v="0"/>
    <n v="0"/>
    <n v="0"/>
    <n v="50"/>
    <n v="50"/>
    <n v="50"/>
    <n v="50"/>
    <n v="50"/>
    <n v="250"/>
    <n v="519119"/>
    <n v="175570"/>
    <x v="15"/>
  </r>
  <r>
    <s v="Site Allocation"/>
    <x v="0"/>
    <m/>
    <m/>
    <m/>
    <m/>
    <m/>
    <x v="3"/>
    <x v="4"/>
    <x v="0"/>
    <m/>
    <s v="Ham Central"/>
    <m/>
    <m/>
    <m/>
    <m/>
    <m/>
    <m/>
    <m/>
    <m/>
    <m/>
    <m/>
    <m/>
    <m/>
    <m/>
    <m/>
    <m/>
    <m/>
    <m/>
    <m/>
    <m/>
    <m/>
    <m/>
    <m/>
    <m/>
    <m/>
    <m/>
    <m/>
    <m/>
    <m/>
    <n v="0"/>
    <m/>
    <n v="0"/>
    <n v="0"/>
    <n v="0"/>
    <n v="0"/>
    <n v="0"/>
    <n v="0"/>
    <n v="50"/>
    <n v="50"/>
    <n v="50"/>
    <n v="50"/>
    <n v="50"/>
    <n v="250"/>
    <n v="517177"/>
    <n v="172352"/>
    <x v="15"/>
  </r>
  <r>
    <s v="Site Allocation"/>
    <x v="0"/>
    <m/>
    <m/>
    <m/>
    <m/>
    <m/>
    <x v="3"/>
    <x v="4"/>
    <x v="0"/>
    <m/>
    <s v="Mereway Day Centre"/>
    <m/>
    <m/>
    <m/>
    <m/>
    <m/>
    <m/>
    <m/>
    <m/>
    <m/>
    <m/>
    <m/>
    <m/>
    <m/>
    <m/>
    <m/>
    <m/>
    <m/>
    <m/>
    <m/>
    <m/>
    <m/>
    <m/>
    <m/>
    <m/>
    <m/>
    <m/>
    <m/>
    <m/>
    <n v="0"/>
    <m/>
    <n v="0"/>
    <n v="0"/>
    <n v="0"/>
    <n v="0"/>
    <n v="0"/>
    <n v="0"/>
    <n v="20"/>
    <n v="20"/>
    <n v="0"/>
    <n v="0"/>
    <n v="0"/>
    <n v="40"/>
    <n v="515033"/>
    <n v="173287"/>
    <x v="5"/>
  </r>
  <r>
    <s v="Site Allocation"/>
    <x v="0"/>
    <m/>
    <m/>
    <m/>
    <m/>
    <m/>
    <x v="3"/>
    <x v="4"/>
    <x v="0"/>
    <m/>
    <s v="Telephone Exchange, 88 High Street, Teddington, TW1 18JD"/>
    <m/>
    <m/>
    <m/>
    <m/>
    <m/>
    <m/>
    <m/>
    <m/>
    <m/>
    <m/>
    <m/>
    <m/>
    <m/>
    <m/>
    <m/>
    <m/>
    <m/>
    <m/>
    <m/>
    <m/>
    <m/>
    <m/>
    <m/>
    <m/>
    <m/>
    <m/>
    <m/>
    <m/>
    <n v="0"/>
    <m/>
    <n v="0"/>
    <n v="0"/>
    <n v="0"/>
    <n v="0"/>
    <n v="0"/>
    <n v="0"/>
    <n v="0"/>
    <n v="5"/>
    <n v="5"/>
    <n v="5"/>
    <n v="5"/>
    <n v="20"/>
    <n v="516258"/>
    <n v="171100"/>
    <x v="0"/>
  </r>
  <r>
    <s v="Site Allocation"/>
    <x v="0"/>
    <m/>
    <m/>
    <m/>
    <m/>
    <m/>
    <x v="3"/>
    <x v="4"/>
    <x v="0"/>
    <m/>
    <s v="Telephone Exchange, Ashdale Close, Whitton, TW1 7BE"/>
    <m/>
    <m/>
    <m/>
    <m/>
    <m/>
    <m/>
    <m/>
    <m/>
    <m/>
    <m/>
    <m/>
    <m/>
    <m/>
    <m/>
    <m/>
    <m/>
    <m/>
    <m/>
    <m/>
    <m/>
    <m/>
    <m/>
    <m/>
    <m/>
    <m/>
    <m/>
    <m/>
    <m/>
    <n v="0"/>
    <m/>
    <n v="0"/>
    <n v="0"/>
    <n v="0"/>
    <n v="0"/>
    <n v="0"/>
    <n v="0"/>
    <n v="0"/>
    <n v="5"/>
    <n v="5"/>
    <n v="5"/>
    <n v="5"/>
    <n v="20"/>
    <n v="514055"/>
    <n v="173847"/>
    <x v="13"/>
  </r>
  <r>
    <s v="Site Allocation"/>
    <x v="0"/>
    <m/>
    <m/>
    <m/>
    <m/>
    <m/>
    <x v="3"/>
    <x v="4"/>
    <x v="0"/>
    <m/>
    <s v="Telephone Exchange, Garfield Road, Twickenham"/>
    <m/>
    <m/>
    <m/>
    <m/>
    <m/>
    <m/>
    <m/>
    <m/>
    <m/>
    <m/>
    <m/>
    <m/>
    <m/>
    <m/>
    <m/>
    <m/>
    <m/>
    <m/>
    <m/>
    <m/>
    <m/>
    <m/>
    <m/>
    <m/>
    <m/>
    <m/>
    <m/>
    <m/>
    <n v="0"/>
    <m/>
    <n v="0"/>
    <n v="0"/>
    <n v="0"/>
    <n v="0"/>
    <n v="0"/>
    <n v="0"/>
    <n v="0"/>
    <n v="5"/>
    <n v="5"/>
    <n v="5"/>
    <n v="5"/>
    <n v="20"/>
    <n v="516325"/>
    <n v="173426"/>
    <x v="10"/>
  </r>
  <r>
    <s v="18/0547/FUL"/>
    <x v="3"/>
    <m/>
    <m/>
    <m/>
    <m/>
    <m/>
    <x v="4"/>
    <x v="4"/>
    <x v="2"/>
    <m/>
    <s v="The Stag Brewery Lower Richmond Road Mortlake London SW14 7ET"/>
    <m/>
    <m/>
    <m/>
    <m/>
    <m/>
    <m/>
    <m/>
    <m/>
    <m/>
    <m/>
    <m/>
    <m/>
    <m/>
    <m/>
    <m/>
    <m/>
    <m/>
    <m/>
    <m/>
    <m/>
    <m/>
    <m/>
    <m/>
    <m/>
    <m/>
    <m/>
    <m/>
    <m/>
    <n v="300"/>
    <m/>
    <n v="0"/>
    <n v="0"/>
    <n v="0"/>
    <n v="0"/>
    <n v="150"/>
    <n v="150"/>
    <n v="80"/>
    <n v="80"/>
    <n v="80"/>
    <n v="80"/>
    <n v="80"/>
    <n v="700"/>
    <n v="520502"/>
    <n v="175950"/>
    <x v="6"/>
  </r>
  <r>
    <s v="18/3310/FUL"/>
    <x v="0"/>
    <m/>
    <d v="2020-09-16T00:00:00"/>
    <m/>
    <m/>
    <m/>
    <x v="4"/>
    <x v="4"/>
    <x v="3"/>
    <m/>
    <s v="Kew Biothane Plant, Melliss Avenue, Kew_x000a_"/>
    <m/>
    <m/>
    <m/>
    <m/>
    <m/>
    <m/>
    <m/>
    <m/>
    <m/>
    <m/>
    <m/>
    <m/>
    <m/>
    <m/>
    <m/>
    <m/>
    <m/>
    <m/>
    <m/>
    <m/>
    <m/>
    <m/>
    <m/>
    <m/>
    <m/>
    <m/>
    <m/>
    <m/>
    <n v="90"/>
    <m/>
    <n v="0"/>
    <n v="0"/>
    <n v="0"/>
    <n v="0"/>
    <n v="45"/>
    <n v="45"/>
    <m/>
    <m/>
    <m/>
    <m/>
    <m/>
    <n v="90"/>
    <n v="519778"/>
    <n v="176914"/>
    <x v="9"/>
  </r>
  <r>
    <s v="18/3642/OUT"/>
    <x v="0"/>
    <m/>
    <d v="2020-09-14T00:00:00"/>
    <d v="2023-09-14T00:00:00"/>
    <m/>
    <m/>
    <x v="4"/>
    <x v="4"/>
    <x v="4"/>
    <s v="Outline planning permission for the demolition and comprehensive redevelopment (phased development) of land at Barnes Hospital to provide a mixed use development comprising a health centre (Use Class D1), a Special Educational Needs (SEN) School (Use Class D1), up to 80 new build residential units (Use class C3), the conversion of two of the retained BTMs for use for up 3no. residential units (Use Class C3), the conversion of one BTM for medical use (Use Class D1), car parking, landscaping and associated works. All matters reserved save for the full details submitted in relation to access points at the site boundaries."/>
    <s v="Barnes Hospital, South Worple Way, East Sheen, SW14 8SU"/>
    <m/>
    <m/>
    <m/>
    <m/>
    <m/>
    <m/>
    <m/>
    <m/>
    <m/>
    <m/>
    <m/>
    <m/>
    <m/>
    <m/>
    <m/>
    <m/>
    <m/>
    <m/>
    <m/>
    <m/>
    <m/>
    <m/>
    <m/>
    <m/>
    <m/>
    <m/>
    <m/>
    <m/>
    <n v="83"/>
    <m/>
    <n v="0"/>
    <n v="0"/>
    <n v="0"/>
    <n v="0"/>
    <n v="41.5"/>
    <n v="41.5"/>
    <m/>
    <m/>
    <m/>
    <m/>
    <m/>
    <n v="83"/>
    <n v="521203"/>
    <n v="175677"/>
    <x v="6"/>
  </r>
  <r>
    <s v="19/0510/FUL"/>
    <x v="0"/>
    <m/>
    <m/>
    <m/>
    <m/>
    <m/>
    <x v="4"/>
    <x v="4"/>
    <x v="5"/>
    <s v="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
    <s v="Homebase 84 Manor Road Richmond TW9 1YB"/>
    <m/>
    <m/>
    <m/>
    <m/>
    <m/>
    <m/>
    <m/>
    <m/>
    <m/>
    <m/>
    <m/>
    <m/>
    <m/>
    <m/>
    <m/>
    <m/>
    <m/>
    <m/>
    <m/>
    <m/>
    <m/>
    <m/>
    <m/>
    <m/>
    <m/>
    <m/>
    <m/>
    <m/>
    <n v="80"/>
    <m/>
    <n v="0"/>
    <n v="0"/>
    <n v="0"/>
    <n v="0"/>
    <n v="0"/>
    <n v="80"/>
    <m/>
    <m/>
    <m/>
    <m/>
    <m/>
    <n v="80"/>
    <n v="518920"/>
    <n v="175418"/>
    <x v="12"/>
  </r>
  <r>
    <s v="19/3616/FUL "/>
    <x v="0"/>
    <m/>
    <m/>
    <m/>
    <m/>
    <m/>
    <x v="4"/>
    <x v="4"/>
    <x v="6"/>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m/>
    <m/>
    <m/>
    <m/>
    <m/>
    <m/>
    <m/>
    <m/>
    <m/>
    <m/>
    <m/>
    <m/>
    <m/>
    <m/>
    <m/>
    <m/>
    <m/>
    <m/>
    <m/>
    <m/>
    <m/>
    <m/>
    <m/>
    <m/>
    <m/>
    <m/>
    <m/>
    <m/>
    <n v="46"/>
    <m/>
    <n v="0"/>
    <n v="0"/>
    <n v="0"/>
    <n v="0"/>
    <n v="23"/>
    <n v="23"/>
    <m/>
    <m/>
    <m/>
    <m/>
    <m/>
    <n v="46"/>
    <n v="516060"/>
    <n v="173599"/>
    <x v="10"/>
  </r>
  <r>
    <s v="20/0539/FUL"/>
    <x v="0"/>
    <m/>
    <d v="2020-10-07T00:00:00"/>
    <m/>
    <m/>
    <m/>
    <x v="4"/>
    <x v="5"/>
    <x v="7"/>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n v="20"/>
    <m/>
    <n v="0"/>
    <n v="0"/>
    <n v="0"/>
    <n v="0"/>
    <n v="10"/>
    <n v="10"/>
    <m/>
    <m/>
    <m/>
    <m/>
    <m/>
    <n v="20"/>
    <n v="515141"/>
    <n v="171791"/>
    <x v="11"/>
  </r>
  <r>
    <s v="Site Allocation"/>
    <x v="3"/>
    <m/>
    <m/>
    <m/>
    <m/>
    <m/>
    <x v="4"/>
    <x v="4"/>
    <x v="8"/>
    <m/>
    <s v="Kneller Hall Royal Military School Of Music Kneller Road Twickenham"/>
    <m/>
    <m/>
    <m/>
    <m/>
    <m/>
    <m/>
    <m/>
    <m/>
    <m/>
    <m/>
    <m/>
    <m/>
    <m/>
    <m/>
    <m/>
    <m/>
    <m/>
    <m/>
    <m/>
    <m/>
    <m/>
    <m/>
    <m/>
    <m/>
    <m/>
    <m/>
    <m/>
    <m/>
    <n v="20"/>
    <m/>
    <n v="0"/>
    <n v="0"/>
    <n v="0"/>
    <n v="0"/>
    <n v="0"/>
    <n v="20"/>
    <n v="10"/>
    <n v="0"/>
    <n v="0"/>
    <n v="0"/>
    <n v="0"/>
    <n v="30"/>
    <n v="514682"/>
    <n v="174192"/>
    <x v="13"/>
  </r>
  <r>
    <s v="Small Sites Trend"/>
    <x v="3"/>
    <m/>
    <m/>
    <m/>
    <m/>
    <m/>
    <x v="4"/>
    <x v="4"/>
    <x v="9"/>
    <s v="Small Sites Trend"/>
    <s v="Small Sites Trend"/>
    <m/>
    <m/>
    <m/>
    <m/>
    <m/>
    <m/>
    <m/>
    <m/>
    <m/>
    <m/>
    <m/>
    <m/>
    <m/>
    <m/>
    <m/>
    <m/>
    <m/>
    <m/>
    <m/>
    <m/>
    <n v="0"/>
    <n v="0"/>
    <n v="0"/>
    <n v="0"/>
    <n v="0"/>
    <n v="0"/>
    <n v="0"/>
    <n v="0"/>
    <n v="742"/>
    <m/>
    <n v="0"/>
    <n v="20"/>
    <n v="20"/>
    <n v="234"/>
    <n v="234"/>
    <n v="234"/>
    <n v="234"/>
    <n v="234"/>
    <n v="234"/>
    <n v="234"/>
    <n v="234"/>
    <n v="1912"/>
    <m/>
    <m/>
    <x v="18"/>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9">
  <r>
    <s v="10/0312/FUL"/>
    <x v="0"/>
    <x v="0"/>
    <d v="2010-06-15T00:00:00"/>
    <d v="2013-06-15T00:00:00"/>
    <d v="2013-06-15T00:00:00"/>
    <d v="2019-10-03T00:00:00"/>
    <x v="0"/>
    <x v="0"/>
    <m/>
    <s v="Construction of three bedroom house and associated landscaping"/>
    <s v="72 Stanley Road_x000d_Teddington_x000d__x000d_"/>
    <m/>
    <m/>
    <m/>
    <m/>
    <m/>
    <m/>
    <m/>
    <m/>
    <m/>
    <n v="0"/>
    <m/>
    <m/>
    <m/>
    <n v="1"/>
    <m/>
    <m/>
    <m/>
    <m/>
    <m/>
    <n v="1"/>
    <n v="0"/>
    <n v="0"/>
    <n v="1"/>
    <n v="0"/>
    <n v="0"/>
    <n v="0"/>
    <n v="0"/>
    <n v="0"/>
    <n v="1"/>
    <m/>
    <n v="1"/>
    <n v="0"/>
    <n v="0"/>
    <n v="0"/>
    <n v="0"/>
    <n v="0"/>
    <m/>
    <m/>
    <m/>
    <m/>
    <m/>
    <n v="0"/>
    <n v="515372"/>
    <n v="171266"/>
    <x v="0"/>
    <m/>
    <m/>
    <m/>
    <m/>
    <m/>
    <m/>
    <m/>
    <m/>
    <m/>
  </r>
  <r>
    <s v="11/1443/FUL"/>
    <x v="0"/>
    <x v="0"/>
    <d v="2012-03-30T00:00:00"/>
    <d v="2015-03-30T00:00:00"/>
    <d v="2015-03-14T00:00:00"/>
    <d v="2020-01-31T00:00:00"/>
    <x v="0"/>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6"/>
    <n v="7"/>
    <n v="1"/>
    <m/>
    <m/>
    <m/>
    <m/>
    <m/>
    <n v="14"/>
    <n v="6"/>
    <n v="7"/>
    <n v="1"/>
    <n v="0"/>
    <n v="0"/>
    <n v="0"/>
    <n v="0"/>
    <n v="0"/>
    <n v="14"/>
    <s v="Y"/>
    <n v="14"/>
    <n v="0"/>
    <n v="0"/>
    <n v="0"/>
    <n v="0"/>
    <n v="0"/>
    <m/>
    <m/>
    <m/>
    <m/>
    <m/>
    <n v="0"/>
    <n v="516095"/>
    <n v="173690"/>
    <x v="1"/>
    <m/>
    <s v="Twickenham"/>
    <m/>
    <m/>
    <m/>
    <m/>
    <m/>
    <m/>
    <m/>
  </r>
  <r>
    <s v="11/2882/FUL"/>
    <x v="1"/>
    <x v="0"/>
    <d v="2012-09-10T00:00:00"/>
    <d v="2015-09-10T00:00:00"/>
    <d v="2015-09-09T00:00:00"/>
    <d v="2020-03-18T00:00:00"/>
    <x v="0"/>
    <x v="0"/>
    <m/>
    <s v="Two-storey infill to the rear of the property and the partial change of use of the front ground floor from vacant offices (Use Class B1) to a single dwelling (Use Class C3)."/>
    <s v="35 Staines Road_x000d_Twickenham_x000d_TW2 5BG_x000d_"/>
    <m/>
    <n v="1"/>
    <m/>
    <m/>
    <m/>
    <m/>
    <m/>
    <m/>
    <m/>
    <n v="1"/>
    <m/>
    <m/>
    <n v="1"/>
    <m/>
    <m/>
    <m/>
    <m/>
    <m/>
    <m/>
    <n v="1"/>
    <n v="-1"/>
    <n v="1"/>
    <n v="0"/>
    <n v="0"/>
    <n v="0"/>
    <n v="0"/>
    <n v="0"/>
    <n v="0"/>
    <n v="0"/>
    <m/>
    <n v="0"/>
    <n v="0"/>
    <n v="0"/>
    <n v="0"/>
    <n v="0"/>
    <n v="0"/>
    <m/>
    <m/>
    <m/>
    <m/>
    <m/>
    <n v="0"/>
    <n v="514998"/>
    <n v="172958"/>
    <x v="2"/>
    <m/>
    <m/>
    <m/>
    <m/>
    <m/>
    <m/>
    <m/>
    <m/>
    <m/>
  </r>
  <r>
    <s v="13/2163/FUL"/>
    <x v="2"/>
    <x v="0"/>
    <d v="2013-10-25T00:00:00"/>
    <d v="2016-10-28T00:00:00"/>
    <d v="2016-09-01T00:00:00"/>
    <d v="2019-08-14T00:00:00"/>
    <x v="0"/>
    <x v="0"/>
    <m/>
    <s v="The reinstatement of 239 and 239a Kingston Road, both maisonnettes comprising a semi detached house the other half of which (241) is still a complete family residence, back into a single family residence. ."/>
    <s v="239 Kingston Road_x000d_Teddington_x000d_TW11 9JJ_x000d_"/>
    <s v="TW11 9JJ"/>
    <n v="1"/>
    <m/>
    <n v="1"/>
    <m/>
    <m/>
    <m/>
    <m/>
    <m/>
    <n v="2"/>
    <m/>
    <m/>
    <m/>
    <m/>
    <n v="1"/>
    <m/>
    <m/>
    <m/>
    <m/>
    <n v="1"/>
    <n v="-1"/>
    <n v="0"/>
    <n v="-1"/>
    <n v="1"/>
    <n v="0"/>
    <n v="0"/>
    <n v="0"/>
    <n v="0"/>
    <n v="-1"/>
    <m/>
    <n v="-1"/>
    <n v="0"/>
    <n v="0"/>
    <n v="0"/>
    <n v="0"/>
    <n v="0"/>
    <m/>
    <m/>
    <m/>
    <m/>
    <m/>
    <n v="0"/>
    <n v="517063"/>
    <n v="170403"/>
    <x v="3"/>
    <m/>
    <m/>
    <m/>
    <m/>
    <m/>
    <m/>
    <m/>
    <m/>
    <m/>
  </r>
  <r>
    <s v="14/3983/FUL"/>
    <x v="0"/>
    <x v="0"/>
    <d v="2015-05-15T00:00:00"/>
    <d v="2019-03-18T00:00:00"/>
    <d v="2017-04-14T00:00:00"/>
    <d v="2020-03-31T00:00:00"/>
    <x v="0"/>
    <x v="0"/>
    <m/>
    <s v="Demolition of existing buildings and erection of 2 pairs of two storey four bedroom townhouses, with basements, roofspace accomodation, associated landscaping and 4 car parking spaces."/>
    <s v="Kings Road Garage_x000d_Kings Road_x000d_Richmond_x000d_TW10 6EG_x000d_"/>
    <m/>
    <m/>
    <m/>
    <m/>
    <m/>
    <m/>
    <m/>
    <m/>
    <m/>
    <n v="0"/>
    <m/>
    <m/>
    <m/>
    <m/>
    <n v="4"/>
    <m/>
    <m/>
    <m/>
    <m/>
    <n v="4"/>
    <n v="0"/>
    <n v="0"/>
    <n v="0"/>
    <n v="4"/>
    <n v="0"/>
    <n v="0"/>
    <n v="0"/>
    <n v="0"/>
    <n v="4"/>
    <m/>
    <n v="4"/>
    <n v="0"/>
    <n v="0"/>
    <n v="0"/>
    <n v="0"/>
    <n v="0"/>
    <m/>
    <m/>
    <m/>
    <m/>
    <m/>
    <n v="0"/>
    <n v="518627"/>
    <n v="175012"/>
    <x v="4"/>
    <m/>
    <m/>
    <m/>
    <m/>
    <m/>
    <m/>
    <m/>
    <s v="Conservation Area"/>
    <s v="CA30 St Matthias Richmond"/>
  </r>
  <r>
    <s v="14/4464/P3JPA"/>
    <x v="1"/>
    <x v="1"/>
    <d v="2015-01-05T00:00:00"/>
    <d v="2020-07-21T00:00:00"/>
    <d v="2018-02-01T00:00:00"/>
    <d v="2019-10-11T00:00:00"/>
    <x v="0"/>
    <x v="0"/>
    <m/>
    <s v="Change of use of part of the ground floor and first floor offices (B1a) to residential (C3) comprising 6 one bed  residential units."/>
    <s v="111 Heath Road_x000d_Twickenham_x000d_TW1 4AH_x000d_"/>
    <s v="TW1 4AH"/>
    <m/>
    <m/>
    <m/>
    <m/>
    <m/>
    <m/>
    <m/>
    <m/>
    <n v="0"/>
    <m/>
    <n v="6"/>
    <m/>
    <m/>
    <m/>
    <m/>
    <m/>
    <m/>
    <m/>
    <n v="6"/>
    <n v="6"/>
    <n v="0"/>
    <n v="0"/>
    <n v="0"/>
    <n v="0"/>
    <n v="0"/>
    <n v="0"/>
    <n v="0"/>
    <n v="6"/>
    <m/>
    <n v="6"/>
    <n v="0"/>
    <n v="0"/>
    <n v="0"/>
    <n v="0"/>
    <n v="0"/>
    <m/>
    <m/>
    <m/>
    <m/>
    <m/>
    <n v="0"/>
    <n v="515764"/>
    <n v="173105"/>
    <x v="5"/>
    <m/>
    <s v="Twickenham"/>
    <m/>
    <m/>
    <m/>
    <m/>
    <m/>
    <m/>
    <m/>
  </r>
  <r>
    <s v="14/4721/FUL"/>
    <x v="0"/>
    <x v="0"/>
    <d v="2015-07-30T00:00:00"/>
    <d v="2018-07-30T00:00:00"/>
    <d v="2018-06-25T00:00:00"/>
    <d v="2020-02-19T00:00:00"/>
    <x v="0"/>
    <x v="0"/>
    <m/>
    <s v="Demolition of the existing buildings and erection of a mixed-use residential-led redevelopment of two storeys over basement with roof accommodation and balconies and roof terraces comprising eight apartments; 401m2 of B1(a) floorspace; twelve car parking"/>
    <s v="97A White Hart Lane_x000d_Barnes_x000d_London_x000d_SW13 0JL_x000d_"/>
    <s v="SW13 0JL"/>
    <m/>
    <m/>
    <m/>
    <m/>
    <m/>
    <m/>
    <m/>
    <m/>
    <n v="0"/>
    <m/>
    <n v="2"/>
    <n v="6"/>
    <m/>
    <m/>
    <m/>
    <m/>
    <m/>
    <m/>
    <n v="8"/>
    <n v="2"/>
    <n v="6"/>
    <n v="0"/>
    <n v="0"/>
    <n v="0"/>
    <n v="0"/>
    <n v="0"/>
    <n v="0"/>
    <n v="8"/>
    <m/>
    <n v="8"/>
    <n v="0"/>
    <n v="0"/>
    <n v="0"/>
    <n v="0"/>
    <n v="0"/>
    <m/>
    <m/>
    <m/>
    <m/>
    <m/>
    <n v="0"/>
    <n v="521414"/>
    <n v="175749"/>
    <x v="6"/>
    <m/>
    <m/>
    <m/>
    <s v="Mixed Use Area"/>
    <s v="White Hart lane"/>
    <m/>
    <m/>
    <m/>
    <m/>
  </r>
  <r>
    <s v="14/4793/FUL"/>
    <x v="3"/>
    <x v="0"/>
    <d v="2016-11-11T00:00:00"/>
    <d v="2019-11-11T00:00:00"/>
    <d v="2018-01-14T00:00:00"/>
    <d v="2019-11-20T00:00:00"/>
    <x v="0"/>
    <x v="0"/>
    <m/>
    <s v="Refurbishment of existing shop and refurbishment and part extension of existing 1st floor flat to provide 2 new 1 and 2 bed flats. Refurbishment and part demolition of existing 2 storey barn to provide new 2 bed 2 storey dwelling."/>
    <s v="42 Sheen Lane_x000d_East Sheen_x000d_London_x000d_SW14 8LP_x000d_"/>
    <m/>
    <m/>
    <m/>
    <m/>
    <n v="1"/>
    <m/>
    <m/>
    <m/>
    <m/>
    <n v="1"/>
    <m/>
    <n v="1"/>
    <n v="2"/>
    <m/>
    <m/>
    <m/>
    <m/>
    <m/>
    <m/>
    <n v="3"/>
    <n v="1"/>
    <n v="2"/>
    <n v="0"/>
    <n v="-1"/>
    <n v="0"/>
    <n v="0"/>
    <n v="0"/>
    <n v="0"/>
    <n v="2"/>
    <m/>
    <n v="2"/>
    <n v="0"/>
    <n v="0"/>
    <n v="0"/>
    <n v="0"/>
    <n v="0"/>
    <m/>
    <m/>
    <m/>
    <m/>
    <m/>
    <n v="0"/>
    <n v="520471"/>
    <n v="175586"/>
    <x v="7"/>
    <m/>
    <s v="East Sheen"/>
    <m/>
    <m/>
    <m/>
    <m/>
    <m/>
    <s v="Conservation Area"/>
    <s v="CA70 Sheen Lane Mortlake"/>
  </r>
  <r>
    <s v="14/5364/P3JPA"/>
    <x v="1"/>
    <x v="1"/>
    <d v="2015-03-03T00:00:00"/>
    <d v="2020-03-03T00:00:00"/>
    <d v="2016-03-01T00:00:00"/>
    <d v="2019-05-31T00:00:00"/>
    <x v="0"/>
    <x v="0"/>
    <m/>
    <s v="Change of use from B1 office use to C3 residential use"/>
    <s v="22 Linden Road_x000d_Hampton_x000d_TW12 2JB_x000d_"/>
    <s v="TW12 2JB"/>
    <m/>
    <m/>
    <m/>
    <m/>
    <m/>
    <m/>
    <m/>
    <m/>
    <n v="0"/>
    <m/>
    <m/>
    <m/>
    <n v="1"/>
    <m/>
    <m/>
    <m/>
    <m/>
    <m/>
    <n v="1"/>
    <n v="0"/>
    <n v="0"/>
    <n v="1"/>
    <n v="0"/>
    <n v="0"/>
    <n v="0"/>
    <n v="0"/>
    <n v="0"/>
    <n v="1"/>
    <m/>
    <n v="1"/>
    <n v="0"/>
    <n v="0"/>
    <n v="0"/>
    <n v="0"/>
    <n v="0"/>
    <m/>
    <m/>
    <m/>
    <m/>
    <m/>
    <n v="0"/>
    <n v="513125"/>
    <n v="169836"/>
    <x v="8"/>
    <m/>
    <m/>
    <m/>
    <m/>
    <m/>
    <m/>
    <m/>
    <m/>
    <m/>
  </r>
  <r>
    <s v="15/0160/FUL"/>
    <x v="0"/>
    <x v="0"/>
    <d v="2016-02-05T00:00:00"/>
    <d v="2019-02-05T00:00:00"/>
    <d v="2017-10-02T00:00:00"/>
    <d v="2019-05-20T00:00:00"/>
    <x v="0"/>
    <x v="0"/>
    <m/>
    <s v="Demolition of existing dwelling and erection of two buildings containing  1No. two bedroom house, 1No. two bedroom apartment and 1No. three bedroom apartment."/>
    <s v="1 Latimer Road_x000d_Teddington_x000d_TW11 8QA_x000d_"/>
    <m/>
    <m/>
    <m/>
    <n v="1"/>
    <m/>
    <m/>
    <m/>
    <m/>
    <m/>
    <n v="1"/>
    <m/>
    <m/>
    <n v="2"/>
    <n v="1"/>
    <m/>
    <m/>
    <m/>
    <m/>
    <m/>
    <n v="3"/>
    <n v="0"/>
    <n v="2"/>
    <n v="0"/>
    <n v="0"/>
    <n v="0"/>
    <n v="0"/>
    <n v="0"/>
    <n v="0"/>
    <n v="2"/>
    <m/>
    <n v="2"/>
    <n v="0"/>
    <n v="0"/>
    <n v="0"/>
    <n v="0"/>
    <n v="0"/>
    <m/>
    <m/>
    <m/>
    <m/>
    <m/>
    <n v="0"/>
    <n v="515646"/>
    <n v="171303"/>
    <x v="0"/>
    <m/>
    <m/>
    <m/>
    <m/>
    <m/>
    <m/>
    <m/>
    <m/>
    <m/>
  </r>
  <r>
    <s v="15/0421/FUL"/>
    <x v="2"/>
    <x v="0"/>
    <d v="2016-08-04T00:00:00"/>
    <d v="2019-08-04T00:00:00"/>
    <d v="2018-03-01T00:00:00"/>
    <d v="2019-09-06T00:00:00"/>
    <x v="0"/>
    <x v="0"/>
    <m/>
    <s v="Reversion of a Building of Townscape Merit from four self-contained flats (3x2 and 1x1 beds) to a single-family dwelling (Use Class C3: Dwelling Houses) with lower and upper ground rear extensions, external alterations to dormers, fenestration, and stairs"/>
    <s v="17 Kings Road_x000d_Richmond_x000d__x000d_"/>
    <m/>
    <n v="1"/>
    <n v="3"/>
    <m/>
    <m/>
    <m/>
    <m/>
    <m/>
    <m/>
    <n v="4"/>
    <m/>
    <m/>
    <m/>
    <m/>
    <n v="1"/>
    <m/>
    <m/>
    <m/>
    <m/>
    <n v="1"/>
    <n v="-1"/>
    <n v="-3"/>
    <n v="0"/>
    <n v="1"/>
    <n v="0"/>
    <n v="0"/>
    <n v="0"/>
    <n v="0"/>
    <n v="-3"/>
    <m/>
    <n v="-3"/>
    <n v="0"/>
    <n v="0"/>
    <n v="0"/>
    <n v="0"/>
    <n v="0"/>
    <m/>
    <m/>
    <m/>
    <m/>
    <m/>
    <n v="0"/>
    <n v="518586"/>
    <n v="174575"/>
    <x v="4"/>
    <m/>
    <m/>
    <m/>
    <m/>
    <m/>
    <m/>
    <m/>
    <s v="Conservation Area"/>
    <s v="CA30 St Matthias Richmond"/>
  </r>
  <r>
    <s v="15/1440/FUL"/>
    <x v="0"/>
    <x v="0"/>
    <d v="2018-09-28T00:00:00"/>
    <d v="2021-10-01T00:00:00"/>
    <d v="2019-02-01T00:00:00"/>
    <d v="2020-03-09T00:00:00"/>
    <x v="0"/>
    <x v="0"/>
    <m/>
    <s v="Demolition of existing single storey structure to allow the construction of a two-storey (1x1bed 2person) dwellinghouse including a study room; provision of one off-street parking space; hard and soft landscaping; boundary treatment and associated refuse/"/>
    <s v="6 Second Cross Road_x000d_Twickenham_x000d_TW2 5RF_x000d_"/>
    <s v="TW2 5RF"/>
    <m/>
    <m/>
    <m/>
    <m/>
    <m/>
    <m/>
    <m/>
    <m/>
    <n v="0"/>
    <m/>
    <n v="1"/>
    <m/>
    <m/>
    <m/>
    <m/>
    <m/>
    <m/>
    <m/>
    <n v="1"/>
    <n v="1"/>
    <n v="0"/>
    <n v="0"/>
    <n v="0"/>
    <n v="0"/>
    <n v="0"/>
    <n v="0"/>
    <n v="0"/>
    <n v="1"/>
    <m/>
    <n v="1"/>
    <n v="0"/>
    <n v="0"/>
    <n v="0"/>
    <n v="0"/>
    <n v="0"/>
    <m/>
    <m/>
    <m/>
    <m/>
    <m/>
    <n v="0"/>
    <n v="515114"/>
    <n v="172749"/>
    <x v="2"/>
    <m/>
    <m/>
    <m/>
    <s v="Mixed Use Area"/>
    <s v="Hampton Road"/>
    <m/>
    <m/>
    <m/>
    <m/>
  </r>
  <r>
    <s v="15/1638/FUL"/>
    <x v="0"/>
    <x v="0"/>
    <d v="2016-08-23T00:00:00"/>
    <d v="2020-06-22T00:00:00"/>
    <d v="2018-02-01T00:00:00"/>
    <d v="2019-10-21T00:00:00"/>
    <x v="0"/>
    <x v="0"/>
    <m/>
    <s v="Demolition of the existing dwelling and erection of 2 No.semi-detached dwellings and associated hard and soft landscaping."/>
    <s v="53 Cole Park Road_x000d_Twickenham_x000d_TW1 1HT_x000d_"/>
    <s v="TW1 1HT"/>
    <m/>
    <m/>
    <m/>
    <m/>
    <n v="1"/>
    <m/>
    <m/>
    <m/>
    <n v="1"/>
    <m/>
    <m/>
    <m/>
    <m/>
    <m/>
    <n v="2"/>
    <m/>
    <m/>
    <m/>
    <n v="2"/>
    <n v="0"/>
    <n v="0"/>
    <n v="0"/>
    <n v="0"/>
    <n v="1"/>
    <n v="0"/>
    <n v="0"/>
    <n v="0"/>
    <n v="1"/>
    <m/>
    <n v="1"/>
    <n v="0"/>
    <n v="0"/>
    <n v="0"/>
    <n v="0"/>
    <n v="0"/>
    <m/>
    <m/>
    <m/>
    <m/>
    <m/>
    <n v="0"/>
    <n v="516222"/>
    <n v="174079"/>
    <x v="1"/>
    <m/>
    <m/>
    <m/>
    <m/>
    <m/>
    <m/>
    <m/>
    <m/>
    <m/>
  </r>
  <r>
    <s v="15/2440/VRC"/>
    <x v="0"/>
    <x v="0"/>
    <d v="2015-08-04T00:00:00"/>
    <d v="2018-08-04T00:00:00"/>
    <d v="2018-04-01T00:00:00"/>
    <d v="2019-10-18T00:00:00"/>
    <x v="0"/>
    <x v="0"/>
    <m/>
    <s v="Variation of condition 2 of application 08/4792/FUL to allow for amendments including:_x000d_- Introduction of clerestory windows to eastern elevation of office building;_x000d_- 2 Conservation rooflights added to front (western) elevation of residential building;_x000d_-"/>
    <s v="11 Sandycombe Road_x000d_Richmond_x000d_TW9 2EP_x000d_"/>
    <m/>
    <m/>
    <m/>
    <m/>
    <m/>
    <m/>
    <m/>
    <m/>
    <m/>
    <n v="0"/>
    <m/>
    <m/>
    <n v="4"/>
    <m/>
    <m/>
    <m/>
    <m/>
    <m/>
    <m/>
    <n v="4"/>
    <n v="0"/>
    <n v="4"/>
    <n v="0"/>
    <n v="0"/>
    <n v="0"/>
    <n v="0"/>
    <n v="0"/>
    <n v="0"/>
    <n v="4"/>
    <m/>
    <n v="4"/>
    <n v="0"/>
    <n v="0"/>
    <n v="0"/>
    <n v="0"/>
    <n v="0"/>
    <m/>
    <m/>
    <m/>
    <m/>
    <m/>
    <n v="0"/>
    <n v="519022"/>
    <n v="175824"/>
    <x v="9"/>
    <m/>
    <m/>
    <m/>
    <m/>
    <m/>
    <m/>
    <m/>
    <m/>
    <m/>
  </r>
  <r>
    <s v="15/2452/FUL"/>
    <x v="0"/>
    <x v="0"/>
    <d v="2015-07-27T00:00:00"/>
    <d v="2018-07-27T00:00:00"/>
    <d v="2016-05-12T00:00:00"/>
    <d v="2019-08-28T00:00:00"/>
    <x v="0"/>
    <x v="0"/>
    <m/>
    <s v="Refurbishment and Extension of existing dwelling - No 79 Richmond Road; Demolition of existing shop and associated office, storage - No 77 Richmond Road; Erection of new single storey B1/D1 employment unit; Erection of new detached 3 Bed Family Unit."/>
    <s v="77 - 79 Richmond Road_x000d_Twickenham_x000d__x000d_"/>
    <m/>
    <m/>
    <m/>
    <m/>
    <m/>
    <m/>
    <m/>
    <m/>
    <m/>
    <n v="0"/>
    <m/>
    <m/>
    <m/>
    <n v="1"/>
    <m/>
    <m/>
    <m/>
    <m/>
    <m/>
    <n v="1"/>
    <n v="0"/>
    <n v="0"/>
    <n v="1"/>
    <n v="0"/>
    <n v="0"/>
    <n v="0"/>
    <n v="0"/>
    <n v="0"/>
    <n v="1"/>
    <m/>
    <n v="1"/>
    <n v="0"/>
    <n v="0"/>
    <n v="0"/>
    <n v="0"/>
    <n v="0"/>
    <m/>
    <m/>
    <m/>
    <m/>
    <m/>
    <n v="0"/>
    <n v="516657"/>
    <n v="173659"/>
    <x v="10"/>
    <m/>
    <m/>
    <m/>
    <m/>
    <m/>
    <m/>
    <m/>
    <m/>
    <m/>
  </r>
  <r>
    <s v="15/3183/FUL"/>
    <x v="2"/>
    <x v="0"/>
    <d v="2015-12-29T00:00:00"/>
    <d v="2018-12-30T00:00:00"/>
    <d v="2018-12-03T00:00:00"/>
    <d v="2019-07-01T00:00:00"/>
    <x v="0"/>
    <x v="0"/>
    <m/>
    <s v="Conversion of existing lower ground floor property and existing upper first floor property (5a and 5b) into one dwelling space and single storey rear extension"/>
    <s v="5A And 5B Upper Lodge Mews_x000d_Bushy Park_x000d_Hampton Hill_x000d__x000d_"/>
    <m/>
    <n v="1"/>
    <m/>
    <n v="1"/>
    <m/>
    <m/>
    <m/>
    <m/>
    <m/>
    <n v="2"/>
    <m/>
    <m/>
    <m/>
    <m/>
    <n v="1"/>
    <m/>
    <m/>
    <m/>
    <m/>
    <n v="1"/>
    <n v="-1"/>
    <n v="0"/>
    <n v="-1"/>
    <n v="1"/>
    <n v="0"/>
    <n v="0"/>
    <n v="0"/>
    <n v="0"/>
    <n v="-1"/>
    <m/>
    <n v="-1"/>
    <n v="0"/>
    <n v="0"/>
    <n v="0"/>
    <n v="0"/>
    <n v="0"/>
    <m/>
    <m/>
    <m/>
    <m/>
    <m/>
    <n v="0"/>
    <n v="514482"/>
    <n v="170638"/>
    <x v="11"/>
    <m/>
    <m/>
    <m/>
    <m/>
    <m/>
    <m/>
    <m/>
    <s v="Conservation Area"/>
    <s v="CA61 Bushy Park"/>
  </r>
  <r>
    <s v="15/4230/FUL"/>
    <x v="4"/>
    <x v="0"/>
    <d v="2016-06-02T00:00:00"/>
    <d v="2019-06-02T00:00:00"/>
    <d v="2017-06-05T00:00:00"/>
    <d v="2019-08-29T00:00:00"/>
    <x v="0"/>
    <x v="0"/>
    <m/>
    <s v="Extension to existing Bungalow to convert into 1No. Studio Flat &amp; 1No. 1 Bedroom Flat."/>
    <s v="The Bungalow_x000d_Beresford Court_x000d_Park Road_x000d_Twickenham_x000d_TW1 2PU_x000d_"/>
    <m/>
    <m/>
    <n v="1"/>
    <m/>
    <m/>
    <m/>
    <m/>
    <m/>
    <m/>
    <n v="1"/>
    <m/>
    <n v="2"/>
    <m/>
    <m/>
    <m/>
    <m/>
    <m/>
    <m/>
    <m/>
    <n v="2"/>
    <n v="2"/>
    <n v="-1"/>
    <n v="0"/>
    <n v="0"/>
    <n v="0"/>
    <n v="0"/>
    <n v="0"/>
    <n v="0"/>
    <n v="1"/>
    <m/>
    <n v="1"/>
    <n v="0"/>
    <n v="0"/>
    <n v="0"/>
    <n v="0"/>
    <n v="0"/>
    <m/>
    <m/>
    <m/>
    <m/>
    <m/>
    <n v="0"/>
    <n v="517353"/>
    <n v="174325"/>
    <x v="10"/>
    <m/>
    <m/>
    <m/>
    <m/>
    <m/>
    <m/>
    <m/>
    <m/>
    <m/>
  </r>
  <r>
    <s v="15/4281/GPD15"/>
    <x v="1"/>
    <x v="1"/>
    <d v="2015-12-08T00:00:00"/>
    <d v="2020-12-09T00:00:00"/>
    <m/>
    <d v="2019-04-01T00:00:00"/>
    <x v="0"/>
    <x v="0"/>
    <m/>
    <s v="Change of use of office building (B1) to 4 bed family dwelling (C3)."/>
    <s v="31 Wick Road_x000d_Teddington_x000d_TW11 9DN_x000d_"/>
    <s v="TW11 9DN"/>
    <m/>
    <m/>
    <m/>
    <m/>
    <m/>
    <m/>
    <m/>
    <m/>
    <n v="0"/>
    <m/>
    <m/>
    <m/>
    <m/>
    <n v="1"/>
    <m/>
    <m/>
    <m/>
    <m/>
    <n v="1"/>
    <n v="0"/>
    <n v="0"/>
    <n v="0"/>
    <n v="1"/>
    <n v="0"/>
    <n v="0"/>
    <n v="0"/>
    <n v="0"/>
    <n v="1"/>
    <m/>
    <n v="1"/>
    <n v="0"/>
    <n v="0"/>
    <n v="0"/>
    <n v="0"/>
    <n v="0"/>
    <m/>
    <m/>
    <m/>
    <m/>
    <m/>
    <n v="0"/>
    <n v="517033"/>
    <n v="170116"/>
    <x v="3"/>
    <m/>
    <m/>
    <m/>
    <m/>
    <m/>
    <m/>
    <m/>
    <m/>
    <m/>
  </r>
  <r>
    <s v="15/4835/FUL"/>
    <x v="0"/>
    <x v="0"/>
    <d v="2016-09-06T00:00:00"/>
    <d v="2019-09-07T00:00:00"/>
    <m/>
    <d v="2019-07-31T00:00:00"/>
    <x v="0"/>
    <x v="0"/>
    <m/>
    <s v="Erection of a three bedroom chalet bungalow on land to the rear of 9 Gloucester Road."/>
    <s v="9 Gloucester Road_x000d_Teddington_x000d__x000d_"/>
    <m/>
    <m/>
    <m/>
    <m/>
    <m/>
    <m/>
    <m/>
    <m/>
    <m/>
    <n v="0"/>
    <m/>
    <m/>
    <m/>
    <n v="1"/>
    <m/>
    <m/>
    <m/>
    <m/>
    <m/>
    <n v="1"/>
    <n v="0"/>
    <n v="0"/>
    <n v="1"/>
    <n v="0"/>
    <n v="0"/>
    <n v="0"/>
    <n v="0"/>
    <n v="0"/>
    <n v="1"/>
    <m/>
    <n v="1"/>
    <n v="0"/>
    <n v="0"/>
    <n v="0"/>
    <n v="0"/>
    <n v="0"/>
    <m/>
    <m/>
    <m/>
    <m/>
    <m/>
    <n v="0"/>
    <n v="515214"/>
    <n v="171265"/>
    <x v="11"/>
    <m/>
    <m/>
    <m/>
    <m/>
    <m/>
    <m/>
    <m/>
    <m/>
    <m/>
  </r>
  <r>
    <s v="15/5216/FUL"/>
    <x v="0"/>
    <x v="0"/>
    <d v="2016-09-08T00:00:00"/>
    <d v="2019-10-21T00:00:00"/>
    <d v="2017-11-01T00:00:00"/>
    <d v="2019-06-30T00:00:00"/>
    <x v="0"/>
    <x v="1"/>
    <m/>
    <s v="Redevelopment of the site to provide a care home, 4 supported living units and 15 affordable housing units, with associated onsite parking and external works. (This scheme is linked to application 15/5217/FUL - whereby the existing care home at Silver Bir"/>
    <s v="The Avenue Centre_x000d_1 Normansfield Avenue_x000d_Hampton Wick_x000d_Teddington_x000d_TW11 9RP_x000d_"/>
    <m/>
    <m/>
    <m/>
    <m/>
    <m/>
    <m/>
    <m/>
    <m/>
    <m/>
    <n v="0"/>
    <s v="Y"/>
    <n v="2"/>
    <n v="8"/>
    <n v="5"/>
    <m/>
    <m/>
    <m/>
    <m/>
    <n v="15"/>
    <n v="15"/>
    <n v="2"/>
    <n v="8"/>
    <n v="5"/>
    <n v="0"/>
    <n v="0"/>
    <n v="0"/>
    <n v="0"/>
    <n v="0"/>
    <n v="15"/>
    <s v="Y"/>
    <n v="15"/>
    <n v="0"/>
    <n v="0"/>
    <n v="0"/>
    <n v="0"/>
    <n v="0"/>
    <m/>
    <m/>
    <m/>
    <m/>
    <m/>
    <n v="0"/>
    <n v="517536"/>
    <n v="170257"/>
    <x v="3"/>
    <m/>
    <m/>
    <m/>
    <m/>
    <m/>
    <m/>
    <m/>
    <s v="Conservation Area"/>
    <s v="CA59 Normansfield Teddington"/>
  </r>
  <r>
    <s v="15/5369/FUL"/>
    <x v="0"/>
    <x v="0"/>
    <d v="2016-06-15T00:00:00"/>
    <d v="2019-06-17T00:00:00"/>
    <m/>
    <d v="2019-07-30T00:00:00"/>
    <x v="0"/>
    <x v="0"/>
    <m/>
    <s v="Demolition of existing bungalow and replacement dwelling house (Class C3) comprising ground and lower ground floor."/>
    <s v="65 Wensleydale Road_x000d_Hampton_x000d_TW12 2LP_x000d_"/>
    <s v="TW12 2LP"/>
    <m/>
    <m/>
    <n v="1"/>
    <m/>
    <m/>
    <m/>
    <m/>
    <m/>
    <n v="1"/>
    <m/>
    <m/>
    <m/>
    <n v="1"/>
    <m/>
    <m/>
    <m/>
    <m/>
    <m/>
    <n v="1"/>
    <n v="0"/>
    <n v="0"/>
    <n v="0"/>
    <n v="0"/>
    <n v="0"/>
    <n v="0"/>
    <n v="0"/>
    <n v="0"/>
    <n v="0"/>
    <m/>
    <n v="0"/>
    <n v="0"/>
    <n v="0"/>
    <n v="0"/>
    <n v="0"/>
    <n v="0"/>
    <m/>
    <m/>
    <m/>
    <m/>
    <m/>
    <n v="0"/>
    <n v="513492"/>
    <n v="170250"/>
    <x v="8"/>
    <m/>
    <m/>
    <m/>
    <m/>
    <m/>
    <m/>
    <m/>
    <m/>
    <m/>
  </r>
  <r>
    <s v="16/0234/FUL"/>
    <x v="0"/>
    <x v="0"/>
    <d v="2016-10-14T00:00:00"/>
    <d v="2019-10-14T00:00:00"/>
    <d v="2017-12-01T00:00:00"/>
    <d v="2019-07-19T00:00:00"/>
    <x v="0"/>
    <x v="0"/>
    <m/>
    <s v="Demolition of existing garage and construction of a two storey terraced house with associated landscaping, cycle store, rear car parking and access thereto."/>
    <s v="31 Poulett Gardens_x000d_Twickenham_x000d_TW1 4QS_x000d_"/>
    <s v="TW1 4QS"/>
    <m/>
    <m/>
    <m/>
    <m/>
    <m/>
    <m/>
    <m/>
    <m/>
    <n v="0"/>
    <m/>
    <m/>
    <m/>
    <m/>
    <n v="1"/>
    <m/>
    <m/>
    <m/>
    <m/>
    <n v="1"/>
    <n v="0"/>
    <n v="0"/>
    <n v="0"/>
    <n v="1"/>
    <n v="0"/>
    <n v="0"/>
    <n v="0"/>
    <n v="0"/>
    <n v="1"/>
    <m/>
    <n v="1"/>
    <n v="0"/>
    <n v="0"/>
    <n v="0"/>
    <n v="0"/>
    <n v="0"/>
    <m/>
    <m/>
    <m/>
    <m/>
    <m/>
    <n v="0"/>
    <n v="515988"/>
    <n v="173004"/>
    <x v="5"/>
    <s v="Garden Land"/>
    <m/>
    <m/>
    <m/>
    <m/>
    <m/>
    <m/>
    <m/>
    <m/>
  </r>
  <r>
    <s v="16/1293/FUL"/>
    <x v="4"/>
    <x v="0"/>
    <d v="2017-11-20T00:00:00"/>
    <d v="2020-11-21T00:00:00"/>
    <d v="2018-02-01T00:00:00"/>
    <d v="2019-10-11T00:00:00"/>
    <x v="0"/>
    <x v="0"/>
    <m/>
    <s v="Creation of an additional floor to create 4 'car free' residential units (2 No.2 bed and 2 No.1 bed flats) and incorporate external extensions and alterations to fenestration of the building.  Provision of 6 cycle parking spaces, refuse storage for commer"/>
    <s v="111 Heath Road_x000d_Twickenham_x000d_TW1 4AH_x000d_"/>
    <s v="TW1 4AH"/>
    <m/>
    <m/>
    <m/>
    <m/>
    <m/>
    <m/>
    <m/>
    <m/>
    <n v="0"/>
    <m/>
    <n v="2"/>
    <n v="2"/>
    <m/>
    <m/>
    <m/>
    <m/>
    <m/>
    <m/>
    <n v="4"/>
    <n v="2"/>
    <n v="2"/>
    <n v="0"/>
    <n v="0"/>
    <n v="0"/>
    <n v="0"/>
    <n v="0"/>
    <n v="0"/>
    <n v="4"/>
    <m/>
    <n v="4"/>
    <n v="0"/>
    <n v="0"/>
    <n v="0"/>
    <n v="0"/>
    <n v="0"/>
    <m/>
    <m/>
    <m/>
    <m/>
    <m/>
    <n v="0"/>
    <n v="515764"/>
    <n v="173105"/>
    <x v="5"/>
    <m/>
    <s v="Twickenham"/>
    <m/>
    <m/>
    <m/>
    <m/>
    <m/>
    <m/>
    <m/>
  </r>
  <r>
    <s v="16/1344/FUL"/>
    <x v="1"/>
    <x v="0"/>
    <d v="2017-05-18T00:00:00"/>
    <d v="2020-05-18T00:00:00"/>
    <d v="2018-01-08T00:00:00"/>
    <d v="2019-09-03T00:00:00"/>
    <x v="0"/>
    <x v="0"/>
    <m/>
    <s v="Conversion works to lower ground floor to provide 1No 1-bedroom flat and basement storage for use ancillary to upper ground floor minicab offices.  Conversion of first floor to 2No. 1-bedroom flats (including conversion of part upper ground floor to provi"/>
    <s v="208 - 210 Amyand Park Road_x000d_Twickenham_x000d_TW1 3HY_x000d_"/>
    <s v="TW1 3HY"/>
    <m/>
    <m/>
    <m/>
    <m/>
    <m/>
    <m/>
    <m/>
    <m/>
    <n v="0"/>
    <m/>
    <n v="3"/>
    <m/>
    <m/>
    <m/>
    <m/>
    <m/>
    <m/>
    <m/>
    <n v="3"/>
    <n v="3"/>
    <n v="0"/>
    <n v="0"/>
    <n v="0"/>
    <n v="0"/>
    <n v="0"/>
    <n v="0"/>
    <n v="0"/>
    <n v="3"/>
    <m/>
    <n v="3"/>
    <n v="0"/>
    <n v="0"/>
    <n v="0"/>
    <n v="0"/>
    <n v="0"/>
    <m/>
    <m/>
    <m/>
    <m/>
    <m/>
    <n v="0"/>
    <n v="516815"/>
    <n v="174220"/>
    <x v="1"/>
    <m/>
    <m/>
    <m/>
    <s v="Mixed Use Area"/>
    <s v="St Margarets"/>
    <m/>
    <m/>
    <s v="Conservation Area"/>
    <s v="CA49 Crown Road St Margarets"/>
  </r>
  <r>
    <s v="16/1729/FUL"/>
    <x v="3"/>
    <x v="0"/>
    <d v="2017-01-16T00:00:00"/>
    <d v="2020-05-03T00:00:00"/>
    <d v="2018-02-01T00:00:00"/>
    <d v="2019-08-01T00:00:00"/>
    <x v="0"/>
    <x v="0"/>
    <m/>
    <s v="Refurbishment of all existing buildings on the site, including improvements to existing shop fronts, and a first floor extension, to provide a mixed use scheme comprising three retail units and four residential dwellings, incorporating off-street parking,"/>
    <s v="67 - 71 Station Road_x000d_Hampton_x000d_TW12 2BT_x000d_"/>
    <s v="TW12 2BT"/>
    <m/>
    <n v="1"/>
    <m/>
    <m/>
    <m/>
    <m/>
    <m/>
    <m/>
    <n v="1"/>
    <m/>
    <n v="2"/>
    <n v="2"/>
    <m/>
    <m/>
    <m/>
    <m/>
    <m/>
    <m/>
    <n v="4"/>
    <n v="2"/>
    <n v="1"/>
    <n v="0"/>
    <n v="0"/>
    <n v="0"/>
    <n v="0"/>
    <n v="0"/>
    <n v="0"/>
    <n v="3"/>
    <m/>
    <n v="3"/>
    <n v="0"/>
    <n v="0"/>
    <n v="0"/>
    <n v="0"/>
    <n v="0"/>
    <m/>
    <m/>
    <m/>
    <m/>
    <m/>
    <n v="0"/>
    <n v="513783"/>
    <n v="169643"/>
    <x v="8"/>
    <m/>
    <m/>
    <m/>
    <s v="Mixed Use Area"/>
    <s v="Station Road"/>
    <m/>
    <m/>
    <s v="Conservation Area"/>
    <s v="CA12 Hampton Village"/>
  </r>
  <r>
    <s v="16/1935/GPD15"/>
    <x v="1"/>
    <x v="1"/>
    <d v="2016-07-04T00:00:00"/>
    <d v="2019-07-19T00:00:00"/>
    <d v="2018-10-01T00:00:00"/>
    <d v="2019-09-30T00:00:00"/>
    <x v="0"/>
    <x v="0"/>
    <m/>
    <s v="Change of use of ground, first and second floors from B1 (a) offices - C3 residential (21 flats together with 21 off-street parking spaces, 21 cycle spaces and two bin and recycling store area)"/>
    <s v="Garrick House_x000d_161 - 163 High Street_x000d_Hampton Hill_x000d_Hampton_x000d_TW12 1NL_x000d_"/>
    <s v="TW12 1NL"/>
    <m/>
    <m/>
    <m/>
    <m/>
    <m/>
    <m/>
    <m/>
    <m/>
    <n v="0"/>
    <m/>
    <n v="12"/>
    <n v="9"/>
    <m/>
    <m/>
    <m/>
    <m/>
    <m/>
    <m/>
    <n v="21"/>
    <n v="12"/>
    <n v="9"/>
    <n v="0"/>
    <n v="0"/>
    <n v="0"/>
    <n v="0"/>
    <n v="0"/>
    <n v="0"/>
    <n v="21"/>
    <s v="Y"/>
    <n v="21"/>
    <n v="0"/>
    <n v="0"/>
    <n v="0"/>
    <n v="0"/>
    <n v="0"/>
    <m/>
    <m/>
    <m/>
    <m/>
    <m/>
    <n v="0"/>
    <n v="514411"/>
    <n v="171129"/>
    <x v="11"/>
    <m/>
    <m/>
    <m/>
    <s v="Mixed Use Area"/>
    <s v="High Street"/>
    <m/>
    <m/>
    <s v="Conservation Area"/>
    <s v="CA38 High Street Hampton Hill"/>
  </r>
  <r>
    <s v="16/2042/FUL"/>
    <x v="2"/>
    <x v="0"/>
    <d v="2018-10-19T00:00:00"/>
    <d v="2021-10-19T00:00:00"/>
    <d v="2019-03-01T00:00:00"/>
    <d v="2020-03-02T00:00:00"/>
    <x v="0"/>
    <x v="0"/>
    <m/>
    <s v="Part two storey part single storey rear extension; insertion of 3 rooflights to side roofslope and alterations to fenestration arrangement on all elevations to facilitate the conversion of existing dwellinghouse into four self-contained flats (2x1 bed, 2x"/>
    <s v="216 London Road_x000d_Twickenham_x000d_TW1 1EU"/>
    <s v="TW1 1EU"/>
    <m/>
    <m/>
    <m/>
    <n v="1"/>
    <m/>
    <m/>
    <m/>
    <m/>
    <n v="1"/>
    <m/>
    <n v="2"/>
    <n v="2"/>
    <m/>
    <m/>
    <m/>
    <m/>
    <m/>
    <m/>
    <n v="4"/>
    <n v="2"/>
    <n v="2"/>
    <n v="0"/>
    <n v="-1"/>
    <n v="0"/>
    <n v="0"/>
    <n v="0"/>
    <n v="0"/>
    <n v="3"/>
    <m/>
    <n v="3"/>
    <n v="0"/>
    <n v="0"/>
    <n v="0"/>
    <n v="0"/>
    <n v="0"/>
    <m/>
    <m/>
    <m/>
    <m/>
    <m/>
    <n v="0"/>
    <n v="516100"/>
    <n v="174435"/>
    <x v="1"/>
    <m/>
    <m/>
    <m/>
    <m/>
    <m/>
    <m/>
    <m/>
    <m/>
    <m/>
  </r>
  <r>
    <s v="16/2158/FUL"/>
    <x v="2"/>
    <x v="0"/>
    <d v="2016-08-05T00:00:00"/>
    <d v="2019-08-05T00:00:00"/>
    <d v="2016-09-29T00:00:00"/>
    <d v="2020-03-31T00:00:00"/>
    <x v="0"/>
    <x v="0"/>
    <m/>
    <s v="Reversion of 2 No. dwellinghouses into a single family dwellinghouse."/>
    <s v="Ormonde Lodge_x000d_2A St Peters Road_x000d_Twickenham_x000d_TW1 1QX_x000d_"/>
    <m/>
    <m/>
    <m/>
    <m/>
    <n v="2"/>
    <m/>
    <m/>
    <m/>
    <m/>
    <n v="2"/>
    <m/>
    <m/>
    <m/>
    <m/>
    <n v="1"/>
    <m/>
    <m/>
    <m/>
    <m/>
    <n v="1"/>
    <n v="0"/>
    <n v="0"/>
    <n v="0"/>
    <n v="-1"/>
    <n v="0"/>
    <n v="0"/>
    <n v="0"/>
    <n v="0"/>
    <n v="-1"/>
    <m/>
    <n v="-1"/>
    <n v="0"/>
    <n v="0"/>
    <n v="0"/>
    <n v="0"/>
    <n v="0"/>
    <m/>
    <m/>
    <m/>
    <m/>
    <m/>
    <n v="0"/>
    <n v="516878"/>
    <n v="174968"/>
    <x v="1"/>
    <m/>
    <m/>
    <s v="Thames Policy Area"/>
    <m/>
    <m/>
    <m/>
    <m/>
    <s v="Conservation Area"/>
    <s v="CA19 St Margarets"/>
  </r>
  <r>
    <s v="16/2348/FUL"/>
    <x v="0"/>
    <x v="0"/>
    <d v="2016-11-30T00:00:00"/>
    <d v="2019-11-30T00:00:00"/>
    <d v="2018-04-25T00:00:00"/>
    <d v="2020-03-31T00:00:00"/>
    <x v="0"/>
    <x v="0"/>
    <m/>
    <s v="Demolition of existing sheds and construction of a single storey one bedroom dwelling."/>
    <s v="38A Pagoda Avenue_x000d_Richmond_x000d_TW9 2HF"/>
    <m/>
    <m/>
    <m/>
    <m/>
    <m/>
    <m/>
    <m/>
    <m/>
    <m/>
    <n v="0"/>
    <m/>
    <n v="1"/>
    <m/>
    <m/>
    <m/>
    <m/>
    <m/>
    <m/>
    <m/>
    <n v="1"/>
    <n v="1"/>
    <n v="0"/>
    <n v="0"/>
    <n v="0"/>
    <n v="0"/>
    <n v="0"/>
    <n v="0"/>
    <n v="0"/>
    <n v="1"/>
    <m/>
    <n v="1"/>
    <n v="0"/>
    <n v="0"/>
    <n v="0"/>
    <n v="0"/>
    <n v="0"/>
    <m/>
    <m/>
    <m/>
    <m/>
    <m/>
    <n v="0"/>
    <n v="518622"/>
    <n v="175641"/>
    <x v="12"/>
    <m/>
    <m/>
    <m/>
    <m/>
    <m/>
    <m/>
    <m/>
    <m/>
    <m/>
  </r>
  <r>
    <s v="16/2502/FUL"/>
    <x v="0"/>
    <x v="0"/>
    <d v="2017-03-16T00:00:00"/>
    <d v="2020-03-17T00:00:00"/>
    <d v="2018-02-01T00:00:00"/>
    <d v="2019-09-27T00:00:00"/>
    <x v="0"/>
    <x v="0"/>
    <m/>
    <s v="Demolition of existing dwelling and erection of a new six bedroom house with basement."/>
    <s v="43 Strawberry Vale_x000d_Twickenham_x000d_TW1 4RX"/>
    <m/>
    <m/>
    <m/>
    <m/>
    <n v="1"/>
    <m/>
    <m/>
    <m/>
    <m/>
    <n v="1"/>
    <m/>
    <m/>
    <m/>
    <m/>
    <m/>
    <m/>
    <n v="1"/>
    <m/>
    <m/>
    <n v="1"/>
    <n v="0"/>
    <n v="0"/>
    <n v="0"/>
    <n v="-1"/>
    <n v="0"/>
    <n v="1"/>
    <n v="0"/>
    <n v="0"/>
    <n v="0"/>
    <m/>
    <n v="0"/>
    <n v="0"/>
    <n v="0"/>
    <n v="0"/>
    <n v="0"/>
    <n v="0"/>
    <m/>
    <m/>
    <m/>
    <m/>
    <m/>
    <n v="0"/>
    <n v="516098"/>
    <n v="172295"/>
    <x v="5"/>
    <m/>
    <m/>
    <s v="Thames Policy Area"/>
    <m/>
    <m/>
    <m/>
    <m/>
    <m/>
    <m/>
  </r>
  <r>
    <s v="16/2975/GPD15"/>
    <x v="1"/>
    <x v="1"/>
    <d v="2016-09-14T00:00:00"/>
    <d v="2019-09-14T00:00:00"/>
    <d v="2019-01-09T00:00:00"/>
    <d v="2019-12-23T00:00:00"/>
    <x v="0"/>
    <x v="0"/>
    <m/>
    <s v="Change of use of vacant offices (B1) to residential use (C3) comprising 2 bed flat on 1st floor and 1 bed flat on second floor."/>
    <s v="First And Second Floors_x000d_46 King Street_x000d_Twickenham_x000d_TW1 3SH_x000d_"/>
    <s v="TW1 3SH"/>
    <m/>
    <m/>
    <m/>
    <m/>
    <m/>
    <m/>
    <m/>
    <m/>
    <n v="0"/>
    <m/>
    <n v="1"/>
    <n v="1"/>
    <m/>
    <m/>
    <m/>
    <m/>
    <m/>
    <m/>
    <n v="2"/>
    <n v="1"/>
    <n v="1"/>
    <n v="0"/>
    <n v="0"/>
    <n v="0"/>
    <n v="0"/>
    <n v="0"/>
    <n v="0"/>
    <n v="2"/>
    <m/>
    <n v="2"/>
    <n v="0"/>
    <n v="0"/>
    <n v="0"/>
    <n v="0"/>
    <n v="0"/>
    <m/>
    <m/>
    <m/>
    <m/>
    <m/>
    <n v="0"/>
    <n v="516167"/>
    <n v="173210"/>
    <x v="10"/>
    <m/>
    <s v="Twickenham"/>
    <m/>
    <m/>
    <m/>
    <m/>
    <m/>
    <s v="Conservation Area"/>
    <s v="CA47 Queens Road Twickenham"/>
  </r>
  <r>
    <s v="16/3210/GPD15"/>
    <x v="1"/>
    <x v="1"/>
    <d v="2016-09-30T00:00:00"/>
    <d v="2019-09-30T00:00:00"/>
    <d v="2019-04-02T00:00:00"/>
    <d v="2020-02-11T00:00:00"/>
    <x v="0"/>
    <x v="0"/>
    <m/>
    <s v="Change of use from B1 (Office) to C3 (Residential) comprising 4 x 1 bedroom flats."/>
    <s v="123 High Street_x000d_Whitton_x000d_Twickenham_x000d_TW2 7LQ_x000d_"/>
    <s v="-"/>
    <m/>
    <m/>
    <m/>
    <m/>
    <m/>
    <m/>
    <m/>
    <m/>
    <n v="0"/>
    <m/>
    <n v="4"/>
    <m/>
    <m/>
    <m/>
    <m/>
    <m/>
    <m/>
    <m/>
    <n v="4"/>
    <n v="4"/>
    <n v="0"/>
    <n v="0"/>
    <n v="0"/>
    <n v="0"/>
    <n v="0"/>
    <n v="0"/>
    <n v="0"/>
    <n v="4"/>
    <m/>
    <n v="4"/>
    <n v="0"/>
    <n v="0"/>
    <n v="0"/>
    <n v="0"/>
    <n v="0"/>
    <m/>
    <m/>
    <m/>
    <m/>
    <m/>
    <n v="0"/>
    <n v="514223"/>
    <n v="173584"/>
    <x v="13"/>
    <m/>
    <s v="Whitton"/>
    <m/>
    <m/>
    <m/>
    <m/>
    <m/>
    <m/>
    <m/>
  </r>
  <r>
    <s v="16/3247/FUL"/>
    <x v="0"/>
    <x v="0"/>
    <d v="2017-07-14T00:00:00"/>
    <d v="2020-10-31T00:00:00"/>
    <d v="2018-10-01T00:00:00"/>
    <d v="2020-01-21T00:00:00"/>
    <x v="0"/>
    <x v="0"/>
    <m/>
    <s v="Demolition of the existing detached bungalow, garage, shed and greenhouse to allow for construction of 2x two storey 4 bedroom semi-detached houses with accommodation in the roof with associated boundary treatment, cycle and car parking and hard and soft"/>
    <s v="738 Hanworth Road_x000d_Whitton_x000d_Hounslow_x000d_TW4 5NT_x000d_"/>
    <s v="TW4 5NT"/>
    <m/>
    <m/>
    <n v="1"/>
    <m/>
    <m/>
    <m/>
    <m/>
    <m/>
    <n v="1"/>
    <m/>
    <m/>
    <m/>
    <m/>
    <n v="2"/>
    <m/>
    <m/>
    <m/>
    <m/>
    <n v="2"/>
    <n v="0"/>
    <n v="0"/>
    <n v="-1"/>
    <n v="2"/>
    <n v="0"/>
    <n v="0"/>
    <n v="0"/>
    <n v="0"/>
    <n v="1"/>
    <m/>
    <n v="1"/>
    <n v="0"/>
    <n v="0"/>
    <n v="0"/>
    <n v="0"/>
    <n v="0"/>
    <m/>
    <m/>
    <m/>
    <m/>
    <m/>
    <n v="0"/>
    <n v="512538"/>
    <n v="173280"/>
    <x v="14"/>
    <m/>
    <m/>
    <m/>
    <m/>
    <m/>
    <m/>
    <m/>
    <m/>
    <m/>
  </r>
  <r>
    <s v="16/3485/FUL"/>
    <x v="2"/>
    <x v="0"/>
    <d v="2017-10-30T00:00:00"/>
    <d v="2020-10-30T00:00:00"/>
    <d v="2020-01-10T00:00:00"/>
    <d v="2019-07-01T00:00:00"/>
    <x v="0"/>
    <x v="0"/>
    <m/>
    <s v="Conversion of number 11 Upper Lodge Mews and number 12 Upper Lodge Mews into one dwelling house with internal refurbishment."/>
    <s v="11 And 12 Upper Lodge Mews_x000d_Bushy Park_x000d_Hampton Hill_x000d__x000d_"/>
    <s v="TW12"/>
    <m/>
    <m/>
    <n v="2"/>
    <m/>
    <m/>
    <m/>
    <m/>
    <m/>
    <n v="2"/>
    <m/>
    <m/>
    <m/>
    <m/>
    <n v="1"/>
    <m/>
    <m/>
    <m/>
    <m/>
    <n v="1"/>
    <n v="0"/>
    <n v="0"/>
    <n v="-2"/>
    <n v="1"/>
    <n v="0"/>
    <n v="0"/>
    <n v="0"/>
    <n v="0"/>
    <n v="-1"/>
    <m/>
    <n v="-1"/>
    <n v="0"/>
    <n v="0"/>
    <n v="0"/>
    <n v="0"/>
    <n v="0"/>
    <m/>
    <m/>
    <m/>
    <m/>
    <m/>
    <n v="0"/>
    <n v="514501"/>
    <n v="170687"/>
    <x v="11"/>
    <m/>
    <m/>
    <m/>
    <m/>
    <m/>
    <m/>
    <m/>
    <s v="Conservation Area"/>
    <s v="CA61 Bushy Park"/>
  </r>
  <r>
    <s v="16/3552/FUL"/>
    <x v="3"/>
    <x v="0"/>
    <d v="2018-04-24T00:00:00"/>
    <d v="2021-04-24T00:00:00"/>
    <d v="2018-04-25T00:00:00"/>
    <d v="2020-03-30T00:00:00"/>
    <x v="0"/>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0"/>
    <n v="11"/>
    <n v="0"/>
    <n v="0"/>
    <m/>
    <m/>
    <m/>
    <m/>
    <n v="11"/>
    <n v="0"/>
    <n v="11"/>
    <n v="0"/>
    <n v="0"/>
    <n v="0"/>
    <n v="0"/>
    <n v="0"/>
    <n v="0"/>
    <n v="11"/>
    <s v="Y"/>
    <n v="11"/>
    <n v="0"/>
    <n v="0"/>
    <n v="0"/>
    <n v="0"/>
    <n v="0"/>
    <m/>
    <m/>
    <m/>
    <m/>
    <m/>
    <n v="0"/>
    <n v="517752"/>
    <n v="172177"/>
    <x v="15"/>
    <m/>
    <m/>
    <m/>
    <m/>
    <m/>
    <m/>
    <m/>
    <s v="Conservation Area"/>
    <s v="CA7 Ham Common"/>
  </r>
  <r>
    <s v="16/3685/FUL"/>
    <x v="3"/>
    <x v="0"/>
    <d v="2016-11-16T00:00:00"/>
    <d v="2021-02-15T00:00:00"/>
    <d v="2018-06-22T00:00:00"/>
    <d v="2019-08-31T00:00:00"/>
    <x v="0"/>
    <x v="0"/>
    <m/>
    <s v="Demolition of existing garage. Alterations to main entrance, installation of ramp, loft conversion comprising hip to gable roof extension to rear roof slope, dormer on side roof slope, enlargement of single storey rear extension and two storey side extens"/>
    <s v="11 Tayben Avenue_x000d_Twickenham_x000d_TW2 7RA"/>
    <s v="TW2 7RA"/>
    <m/>
    <m/>
    <n v="1"/>
    <m/>
    <m/>
    <m/>
    <m/>
    <m/>
    <n v="1"/>
    <m/>
    <m/>
    <n v="2"/>
    <m/>
    <m/>
    <m/>
    <m/>
    <m/>
    <m/>
    <n v="2"/>
    <n v="0"/>
    <n v="2"/>
    <n v="-1"/>
    <n v="0"/>
    <n v="0"/>
    <n v="0"/>
    <n v="0"/>
    <n v="0"/>
    <n v="1"/>
    <m/>
    <n v="1"/>
    <n v="0"/>
    <n v="0"/>
    <n v="0"/>
    <n v="0"/>
    <n v="0"/>
    <m/>
    <m/>
    <m/>
    <m/>
    <m/>
    <n v="0"/>
    <n v="515385"/>
    <n v="174051"/>
    <x v="1"/>
    <m/>
    <m/>
    <m/>
    <m/>
    <m/>
    <m/>
    <m/>
    <m/>
    <m/>
  </r>
  <r>
    <s v="16/4193/FUL"/>
    <x v="0"/>
    <x v="0"/>
    <d v="2017-07-19T00:00:00"/>
    <d v="2020-07-19T00:00:00"/>
    <m/>
    <d v="2019-11-13T00:00:00"/>
    <x v="0"/>
    <x v="0"/>
    <m/>
    <s v="Demolition of existing two-storey house and erection of replacement two-storey new build house with accommodation in roof space, associated parking and landscaping."/>
    <s v="12 Broad Lane_x000d_Hampton_x000d_TW12 3AW"/>
    <s v="TW12 3AW"/>
    <m/>
    <m/>
    <m/>
    <n v="1"/>
    <m/>
    <m/>
    <m/>
    <m/>
    <n v="1"/>
    <m/>
    <m/>
    <m/>
    <m/>
    <n v="1"/>
    <m/>
    <m/>
    <m/>
    <m/>
    <n v="1"/>
    <n v="0"/>
    <n v="0"/>
    <n v="0"/>
    <n v="0"/>
    <n v="0"/>
    <n v="0"/>
    <n v="0"/>
    <n v="0"/>
    <n v="0"/>
    <m/>
    <n v="0"/>
    <n v="0"/>
    <n v="0"/>
    <n v="0"/>
    <n v="0"/>
    <n v="0"/>
    <m/>
    <m/>
    <m/>
    <m/>
    <m/>
    <n v="0"/>
    <n v="513706"/>
    <n v="170624"/>
    <x v="16"/>
    <m/>
    <m/>
    <m/>
    <m/>
    <m/>
    <m/>
    <m/>
    <m/>
    <m/>
  </r>
  <r>
    <s v="17/0164/GPD15"/>
    <x v="1"/>
    <x v="1"/>
    <d v="2017-03-10T00:00:00"/>
    <d v="2020-03-10T00:00:00"/>
    <d v="2018-10-01T00:00:00"/>
    <d v="2019-04-24T00:00:00"/>
    <x v="0"/>
    <x v="0"/>
    <m/>
    <s v="Change of use of ground floor office from B1(a) (Office) to C3 (residential) use to provide 1 no. 1 bed dwelling unit"/>
    <s v="Ground Floor_x000d_101 Holly Road_x000d_Twickenham_x000d_TW1 4HQ_x000d_"/>
    <s v="TW1 4HQ"/>
    <m/>
    <m/>
    <m/>
    <m/>
    <m/>
    <m/>
    <m/>
    <m/>
    <n v="0"/>
    <m/>
    <n v="1"/>
    <m/>
    <m/>
    <m/>
    <m/>
    <m/>
    <m/>
    <m/>
    <n v="1"/>
    <n v="1"/>
    <n v="0"/>
    <n v="0"/>
    <n v="0"/>
    <n v="0"/>
    <n v="0"/>
    <n v="0"/>
    <n v="0"/>
    <n v="1"/>
    <m/>
    <n v="1"/>
    <n v="0"/>
    <n v="0"/>
    <n v="0"/>
    <n v="0"/>
    <n v="0"/>
    <m/>
    <m/>
    <m/>
    <m/>
    <m/>
    <n v="0"/>
    <n v="516177"/>
    <n v="173221"/>
    <x v="10"/>
    <m/>
    <s v="Twickenham"/>
    <m/>
    <m/>
    <m/>
    <m/>
    <m/>
    <s v="Conservation Area"/>
    <s v="CA47 Queens Road Twickenham"/>
  </r>
  <r>
    <s v="17/0396/FUL"/>
    <x v="0"/>
    <x v="0"/>
    <d v="2017-06-05T00:00:00"/>
    <d v="2020-06-05T00:00:00"/>
    <d v="2019-02-01T00:00:00"/>
    <d v="2020-03-23T00:00:00"/>
    <x v="0"/>
    <x v="1"/>
    <m/>
    <s v="Demolition of existing garages and creation of 3 x 1bed 2person flats and 1 x 2bed 3-person bungalow with associated parking and landscaping."/>
    <s v="Garage Site Craig Road Ham"/>
    <s v="TW10"/>
    <m/>
    <m/>
    <m/>
    <m/>
    <m/>
    <m/>
    <m/>
    <m/>
    <n v="0"/>
    <s v="Y"/>
    <n v="3"/>
    <n v="1"/>
    <m/>
    <m/>
    <m/>
    <m/>
    <m/>
    <n v="4"/>
    <n v="4"/>
    <n v="3"/>
    <n v="1"/>
    <n v="0"/>
    <n v="0"/>
    <n v="0"/>
    <n v="0"/>
    <n v="0"/>
    <n v="0"/>
    <n v="4"/>
    <m/>
    <n v="0"/>
    <n v="0"/>
    <n v="0"/>
    <n v="0"/>
    <n v="0"/>
    <n v="0"/>
    <m/>
    <m/>
    <m/>
    <m/>
    <m/>
    <n v="0"/>
    <n v="517438"/>
    <n v="171815"/>
    <x v="15"/>
    <m/>
    <m/>
    <m/>
    <m/>
    <m/>
    <m/>
    <m/>
    <m/>
    <m/>
  </r>
  <r>
    <s v="17/0460/FUL"/>
    <x v="2"/>
    <x v="0"/>
    <d v="2017-07-14T00:00:00"/>
    <d v="2020-07-14T00:00:00"/>
    <m/>
    <d v="2020-03-31T00:00:00"/>
    <x v="0"/>
    <x v="0"/>
    <m/>
    <s v="Reversion of 4no. flats to a single family dwellinghouse."/>
    <s v="45 Castelnau_x000d_Barnes_x000d_London_x000d_SW13 9RT"/>
    <s v="SW13 9RT"/>
    <n v="3"/>
    <m/>
    <m/>
    <m/>
    <n v="1"/>
    <m/>
    <m/>
    <m/>
    <n v="4"/>
    <m/>
    <m/>
    <m/>
    <m/>
    <m/>
    <m/>
    <m/>
    <n v="1"/>
    <m/>
    <n v="1"/>
    <n v="-3"/>
    <n v="0"/>
    <n v="0"/>
    <n v="0"/>
    <n v="-1"/>
    <n v="0"/>
    <n v="1"/>
    <n v="0"/>
    <n v="-3"/>
    <m/>
    <n v="-3"/>
    <n v="0"/>
    <n v="0"/>
    <n v="0"/>
    <n v="0"/>
    <n v="0"/>
    <m/>
    <m/>
    <m/>
    <m/>
    <m/>
    <n v="0"/>
    <n v="522418"/>
    <n v="176934"/>
    <x v="17"/>
    <m/>
    <m/>
    <m/>
    <m/>
    <m/>
    <m/>
    <m/>
    <s v="Conservation Area"/>
    <s v="CA25 Castelnau"/>
  </r>
  <r>
    <s v="17/0733/FUL"/>
    <x v="2"/>
    <x v="0"/>
    <d v="2017-09-13T00:00:00"/>
    <d v="2020-09-13T00:00:00"/>
    <d v="2019-10-31T00:00:00"/>
    <d v="2020-03-18T00:00:00"/>
    <x v="0"/>
    <x v="0"/>
    <m/>
    <s v="Alterations incorporating rear dormer, rooflights to front roofslope and external stairs to rear.  Alterations to create a 1-bed flat on the first floor, a 2-bed duplex flat on the second and third floor roof extension. Division of the rear roof terrace w"/>
    <s v="26 Colston Road_x000d_East Sheen_x000d_London_x000d_SW14 7PG"/>
    <s v="SW14 7PG"/>
    <m/>
    <m/>
    <n v="1"/>
    <m/>
    <m/>
    <m/>
    <m/>
    <m/>
    <n v="1"/>
    <m/>
    <n v="1"/>
    <n v="1"/>
    <m/>
    <m/>
    <m/>
    <m/>
    <m/>
    <m/>
    <n v="2"/>
    <n v="1"/>
    <n v="1"/>
    <n v="-1"/>
    <n v="0"/>
    <n v="0"/>
    <n v="0"/>
    <n v="0"/>
    <n v="0"/>
    <n v="1"/>
    <m/>
    <n v="1"/>
    <n v="0"/>
    <n v="0"/>
    <n v="0"/>
    <n v="0"/>
    <n v="0"/>
    <m/>
    <m/>
    <m/>
    <m/>
    <m/>
    <n v="0"/>
    <n v="520325"/>
    <n v="175316"/>
    <x v="7"/>
    <m/>
    <s v="East Sheen"/>
    <m/>
    <m/>
    <m/>
    <m/>
    <m/>
    <m/>
    <m/>
  </r>
  <r>
    <s v="17/0956/FUL"/>
    <x v="0"/>
    <x v="0"/>
    <d v="2017-09-14T00:00:00"/>
    <d v="2020-09-14T00:00:00"/>
    <d v="2019-01-14T00:00:00"/>
    <d v="2020-02-20T00:00:00"/>
    <x v="0"/>
    <x v="0"/>
    <m/>
    <s v="Proposed demolition of existing buildings and erection of residential-led mixed-use development and associated works."/>
    <s v="Rear Of_x000d_74 Church Road_x000d_Barnes_x000d_London_x000d_SW13 0DQ_x000d_"/>
    <s v="SW13 0DQ"/>
    <m/>
    <m/>
    <m/>
    <m/>
    <m/>
    <m/>
    <m/>
    <m/>
    <n v="0"/>
    <m/>
    <n v="2"/>
    <n v="4"/>
    <m/>
    <m/>
    <m/>
    <m/>
    <m/>
    <m/>
    <n v="6"/>
    <n v="2"/>
    <n v="4"/>
    <n v="0"/>
    <n v="0"/>
    <n v="0"/>
    <n v="0"/>
    <n v="0"/>
    <n v="0"/>
    <n v="6"/>
    <m/>
    <n v="6"/>
    <n v="0"/>
    <n v="0"/>
    <n v="0"/>
    <n v="0"/>
    <n v="0"/>
    <m/>
    <m/>
    <m/>
    <m/>
    <m/>
    <n v="0"/>
    <n v="522302"/>
    <n v="176537"/>
    <x v="17"/>
    <m/>
    <m/>
    <m/>
    <s v="Mixed Use Area"/>
    <s v="Church Road/Castelnau"/>
    <m/>
    <m/>
    <m/>
    <m/>
  </r>
  <r>
    <s v="17/1207/FUL"/>
    <x v="0"/>
    <x v="0"/>
    <d v="2017-10-24T00:00:00"/>
    <d v="2020-10-24T00:00:00"/>
    <d v="2018-10-01T00:00:00"/>
    <d v="2019-11-18T00:00:00"/>
    <x v="0"/>
    <x v="0"/>
    <m/>
    <s v="Redevelopment comprising ground floor Change of Use from MOT garage (B2) to a Dental Surgery (D1) and Office (B1); and replacement (over) of 1 no. 2-bed flat with 3 no. 2-bed flats; and associated landscaping."/>
    <s v="12 Princes Road_x000d_Kew_x000d_Richmond_x000d_TW9 3HP_x000d_"/>
    <s v="TW9 3HP"/>
    <m/>
    <n v="1"/>
    <m/>
    <m/>
    <m/>
    <m/>
    <m/>
    <m/>
    <n v="1"/>
    <m/>
    <m/>
    <n v="3"/>
    <m/>
    <m/>
    <m/>
    <m/>
    <m/>
    <m/>
    <n v="3"/>
    <n v="0"/>
    <n v="2"/>
    <n v="0"/>
    <n v="0"/>
    <n v="0"/>
    <n v="0"/>
    <n v="0"/>
    <n v="0"/>
    <n v="2"/>
    <m/>
    <n v="2"/>
    <n v="0"/>
    <n v="0"/>
    <n v="0"/>
    <n v="0"/>
    <n v="0"/>
    <m/>
    <m/>
    <m/>
    <m/>
    <m/>
    <n v="0"/>
    <n v="518953"/>
    <n v="176997"/>
    <x v="9"/>
    <m/>
    <m/>
    <m/>
    <m/>
    <m/>
    <m/>
    <m/>
    <s v="Conservation Area"/>
    <s v="CA15 Kew Gardens Kew"/>
  </r>
  <r>
    <s v="17/1286/VRC"/>
    <x v="0"/>
    <x v="0"/>
    <d v="2017-10-05T00:00:00"/>
    <d v="2017-12-09T00:00:00"/>
    <d v="2017-10-05T00:00:00"/>
    <d v="2019-08-19T00:00:00"/>
    <x v="0"/>
    <x v="1"/>
    <m/>
    <s v="Variation of approved drawing nos attached to 14/0914/FUL to allow for the development of Block B as two blocks and an increase in the overall number of units from 220 to 238 and minor changes to the riverside walkway._x000d_To allow changes to the internal lay"/>
    <s v="1 - 13 Ecko House &amp;  Flats 1 - 3, 13 Broom Road, Teddington Studios, Broom Road, Teddington"/>
    <s v="TW11"/>
    <m/>
    <m/>
    <m/>
    <m/>
    <m/>
    <m/>
    <m/>
    <m/>
    <n v="0"/>
    <s v="Y"/>
    <n v="4"/>
    <n v="11"/>
    <m/>
    <m/>
    <m/>
    <m/>
    <m/>
    <n v="15"/>
    <n v="15"/>
    <n v="4"/>
    <n v="11"/>
    <n v="0"/>
    <n v="0"/>
    <n v="0"/>
    <n v="0"/>
    <n v="0"/>
    <n v="0"/>
    <n v="15"/>
    <s v="Y"/>
    <n v="15"/>
    <n v="0"/>
    <n v="0"/>
    <n v="0"/>
    <n v="0"/>
    <n v="0"/>
    <m/>
    <m/>
    <m/>
    <m/>
    <m/>
    <n v="0"/>
    <n v="516802"/>
    <n v="171333"/>
    <x v="0"/>
    <m/>
    <m/>
    <s v="Thames Policy Area"/>
    <m/>
    <m/>
    <m/>
    <m/>
    <m/>
    <m/>
  </r>
  <r>
    <s v="17/1286/VRC"/>
    <x v="0"/>
    <x v="0"/>
    <d v="2017-10-05T00:00:00"/>
    <d v="2017-12-09T00:00:00"/>
    <d v="2017-10-05T00:00:00"/>
    <d v="2019-12-0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1 - 94 Camera House, (5 Pinewood Gardens), Teddington Studios, Broom Road, Teddington"/>
    <s v="TW11"/>
    <m/>
    <m/>
    <m/>
    <m/>
    <m/>
    <m/>
    <m/>
    <m/>
    <n v="0"/>
    <m/>
    <n v="15"/>
    <n v="55"/>
    <n v="23"/>
    <n v="0"/>
    <m/>
    <m/>
    <m/>
    <m/>
    <n v="93"/>
    <n v="15"/>
    <n v="55"/>
    <n v="23"/>
    <n v="0"/>
    <n v="0"/>
    <n v="0"/>
    <n v="0"/>
    <n v="0"/>
    <n v="93"/>
    <s v="Y"/>
    <n v="93"/>
    <n v="0"/>
    <n v="0"/>
    <n v="0"/>
    <n v="0"/>
    <n v="0"/>
    <m/>
    <m/>
    <m/>
    <m/>
    <m/>
    <n v="0"/>
    <n v="516802"/>
    <n v="171333"/>
    <x v="0"/>
    <m/>
    <m/>
    <s v="Thames Policy Area"/>
    <m/>
    <m/>
    <m/>
    <m/>
    <m/>
    <m/>
  </r>
  <r>
    <s v="17/1286/VRC"/>
    <x v="0"/>
    <x v="0"/>
    <d v="2017-10-05T00:00:00"/>
    <d v="2017-12-09T00:00:00"/>
    <d v="2017-10-05T00:00:00"/>
    <d v="2019-04-26T00:00:00"/>
    <x v="0"/>
    <x v="0"/>
    <m/>
    <s v="Variation of approved drawing nos attached to 14/0914/FUL to allow for the development of Block B as two blocks and an increase in the overall number of units from 220 to 238 and minor changes to the riverside walkway._x000d_To allow changes to the internal lay"/>
    <s v="Haymarket House, Teddington Studios, Broom Road, Teddington_x000a__x000a_"/>
    <s v="TW11"/>
    <m/>
    <m/>
    <m/>
    <m/>
    <m/>
    <m/>
    <m/>
    <m/>
    <n v="0"/>
    <m/>
    <n v="8"/>
    <n v="10"/>
    <n v="29"/>
    <m/>
    <m/>
    <m/>
    <m/>
    <m/>
    <n v="47"/>
    <n v="8"/>
    <n v="10"/>
    <n v="29"/>
    <n v="0"/>
    <n v="0"/>
    <n v="0"/>
    <n v="0"/>
    <n v="0"/>
    <n v="47"/>
    <s v="Y"/>
    <n v="47"/>
    <n v="0"/>
    <n v="0"/>
    <n v="0"/>
    <n v="0"/>
    <n v="0"/>
    <m/>
    <m/>
    <m/>
    <m/>
    <m/>
    <n v="0"/>
    <n v="516802"/>
    <n v="171333"/>
    <x v="0"/>
    <m/>
    <m/>
    <s v="Thames Policy Area"/>
    <m/>
    <m/>
    <m/>
    <m/>
    <m/>
    <m/>
  </r>
  <r>
    <s v="17/1621/FUL"/>
    <x v="1"/>
    <x v="0"/>
    <d v="2017-10-09T00:00:00"/>
    <d v="2021-04-03T00:00:00"/>
    <d v="2019-09-05T00:00:00"/>
    <d v="2019-10-29T00:00:00"/>
    <x v="0"/>
    <x v="0"/>
    <m/>
    <s v="Conversion of First Floor Offices (B1) to Residential (C3) and Remodelling of Second Floor Flat."/>
    <s v="3 Union Court_x000d_Sheen Road_x000d_Richmond_x000d__x000d_"/>
    <s v="TW9"/>
    <m/>
    <m/>
    <m/>
    <m/>
    <m/>
    <m/>
    <m/>
    <m/>
    <n v="0"/>
    <m/>
    <n v="1"/>
    <m/>
    <m/>
    <m/>
    <m/>
    <m/>
    <m/>
    <m/>
    <n v="1"/>
    <n v="1"/>
    <n v="0"/>
    <n v="0"/>
    <n v="0"/>
    <n v="0"/>
    <n v="0"/>
    <n v="0"/>
    <n v="0"/>
    <n v="1"/>
    <m/>
    <n v="1"/>
    <n v="0"/>
    <n v="0"/>
    <n v="0"/>
    <n v="0"/>
    <n v="0"/>
    <m/>
    <m/>
    <m/>
    <m/>
    <m/>
    <n v="0"/>
    <n v="518053"/>
    <n v="174903"/>
    <x v="4"/>
    <m/>
    <s v="Richmond"/>
    <m/>
    <m/>
    <m/>
    <m/>
    <m/>
    <s v="Conservation Area"/>
    <s v="CA17 Central Richmond"/>
  </r>
  <r>
    <s v="17/2534/FUL"/>
    <x v="2"/>
    <x v="0"/>
    <d v="2018-02-22T00:00:00"/>
    <d v="2021-02-22T00:00:00"/>
    <d v="2019-03-01T00:00:00"/>
    <d v="2020-03-25T00:00:00"/>
    <x v="0"/>
    <x v="0"/>
    <m/>
    <s v="Creation of a single storey rear and side extension and conversion of the two lower flats and upper maisonette into a single dwelling house"/>
    <s v="1 Royston Road_x000d_Richmond_x000d__x000d_"/>
    <s v="TW10 6LT"/>
    <n v="2"/>
    <n v="1"/>
    <m/>
    <m/>
    <m/>
    <m/>
    <m/>
    <m/>
    <n v="3"/>
    <m/>
    <m/>
    <m/>
    <m/>
    <m/>
    <n v="1"/>
    <m/>
    <m/>
    <m/>
    <n v="1"/>
    <n v="-2"/>
    <n v="-1"/>
    <n v="0"/>
    <n v="0"/>
    <n v="1"/>
    <n v="0"/>
    <n v="0"/>
    <n v="0"/>
    <n v="-2"/>
    <m/>
    <n v="-2"/>
    <n v="0"/>
    <n v="0"/>
    <n v="0"/>
    <n v="0"/>
    <n v="0"/>
    <m/>
    <m/>
    <m/>
    <m/>
    <m/>
    <n v="0"/>
    <n v="518396"/>
    <n v="174632"/>
    <x v="4"/>
    <m/>
    <m/>
    <m/>
    <m/>
    <m/>
    <m/>
    <m/>
    <s v="Conservation Area"/>
    <s v="CA30 St Matthias Richmond"/>
  </r>
  <r>
    <s v="17/2779/NMA"/>
    <x v="0"/>
    <x v="0"/>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m/>
    <m/>
    <n v="4"/>
    <n v="6"/>
    <m/>
    <m/>
    <m/>
    <m/>
    <n v="10"/>
    <n v="0"/>
    <n v="0"/>
    <n v="4"/>
    <n v="6"/>
    <n v="0"/>
    <n v="0"/>
    <n v="0"/>
    <n v="0"/>
    <n v="10"/>
    <s v="Y"/>
    <n v="10"/>
    <n v="0"/>
    <n v="0"/>
    <n v="0"/>
    <n v="0"/>
    <n v="0"/>
    <m/>
    <m/>
    <m/>
    <m/>
    <m/>
    <n v="0"/>
    <n v="518534"/>
    <n v="171320"/>
    <x v="15"/>
    <m/>
    <m/>
    <m/>
    <m/>
    <m/>
    <m/>
    <m/>
    <m/>
    <m/>
  </r>
  <r>
    <s v="17/2779/NMA"/>
    <x v="0"/>
    <x v="0"/>
    <d v="2018-03-09T00:00:00"/>
    <d v="2021-03-09T00:00:00"/>
    <d v="2016-05-02T00:00:00"/>
    <d v="2020-03-31T00:00:00"/>
    <x v="0"/>
    <x v="0"/>
    <m/>
    <s v="Non Material Amendment to Planning Permission 17/2779/VRC  (Removal of condition U05665 - NS09 (Formally condition 9 - Lifetime Homes Standards) of Planning Permission 16/0523/VRC) Amendments to include internal amendments to revise housing mix in Latchme"/>
    <s v="HMP Latchmere House_x000d_Church Road_x000d_Ham_x000d_Richmond_x000d_TW10 5HH_x000d_"/>
    <s v="TW10 5HH"/>
    <m/>
    <m/>
    <m/>
    <m/>
    <m/>
    <m/>
    <m/>
    <m/>
    <n v="0"/>
    <m/>
    <n v="1"/>
    <n v="4"/>
    <n v="2"/>
    <m/>
    <m/>
    <m/>
    <m/>
    <m/>
    <n v="7"/>
    <n v="1"/>
    <n v="4"/>
    <n v="2"/>
    <n v="0"/>
    <n v="0"/>
    <n v="0"/>
    <n v="0"/>
    <n v="0"/>
    <n v="7"/>
    <s v="Y"/>
    <n v="7"/>
    <n v="0"/>
    <n v="0"/>
    <n v="0"/>
    <n v="0"/>
    <n v="0"/>
    <m/>
    <m/>
    <m/>
    <m/>
    <m/>
    <n v="0"/>
    <n v="518534"/>
    <n v="171320"/>
    <x v="15"/>
    <m/>
    <m/>
    <m/>
    <m/>
    <m/>
    <m/>
    <m/>
    <m/>
    <m/>
  </r>
  <r>
    <s v="17/2995/FUL"/>
    <x v="1"/>
    <x v="0"/>
    <d v="2018-04-24T00:00:00"/>
    <d v="2021-04-24T00:00:00"/>
    <d v="2019-01-31T00:00:00"/>
    <d v="2019-04-10T00:00:00"/>
    <x v="0"/>
    <x v="0"/>
    <m/>
    <s v="Change of use from a House in Multiple Occupation (Use Class C4) to create three self-contained flats (Use Class C3).  Installation of rear conservation rooflight, side ground floor window and replacement windows."/>
    <s v="24 Larkfield Road_x000d_Richmond_x000d__x000d_"/>
    <s v="TW9 2PF"/>
    <n v="1"/>
    <m/>
    <m/>
    <m/>
    <n v="0"/>
    <m/>
    <m/>
    <m/>
    <n v="1"/>
    <m/>
    <n v="1"/>
    <n v="2"/>
    <m/>
    <m/>
    <m/>
    <m/>
    <m/>
    <m/>
    <n v="3"/>
    <n v="0"/>
    <n v="2"/>
    <n v="0"/>
    <n v="0"/>
    <n v="0"/>
    <n v="0"/>
    <n v="0"/>
    <n v="0"/>
    <n v="2"/>
    <m/>
    <n v="2"/>
    <n v="0"/>
    <n v="0"/>
    <n v="0"/>
    <n v="0"/>
    <n v="0"/>
    <m/>
    <m/>
    <m/>
    <m/>
    <m/>
    <n v="0"/>
    <n v="518267"/>
    <n v="175282"/>
    <x v="12"/>
    <m/>
    <m/>
    <m/>
    <m/>
    <m/>
    <m/>
    <m/>
    <s v="Conservation Area"/>
    <s v="CA17 Central Richmond"/>
  </r>
  <r>
    <s v="17/3132/FUL"/>
    <x v="0"/>
    <x v="0"/>
    <d v="2018-10-16T00:00:00"/>
    <d v="2021-10-16T00:00:00"/>
    <d v="2019-02-05T00:00:00"/>
    <d v="2020-03-31T00:00:00"/>
    <x v="0"/>
    <x v="0"/>
    <m/>
    <s v="Demolition of existing garage and construction of a two-storey, 3-bedroom house, with accommodation in the roof space. Formation of new vehicular access and 1 off-street parking space in front on no.22."/>
    <s v="22 Vivienne Close_x000a_Twickenham_x000a_TW1 2JX"/>
    <s v="TW1 2JX"/>
    <m/>
    <m/>
    <m/>
    <m/>
    <m/>
    <m/>
    <m/>
    <m/>
    <n v="0"/>
    <m/>
    <m/>
    <m/>
    <n v="1"/>
    <m/>
    <m/>
    <m/>
    <m/>
    <m/>
    <n v="1"/>
    <n v="0"/>
    <n v="0"/>
    <n v="1"/>
    <n v="0"/>
    <n v="0"/>
    <n v="0"/>
    <n v="0"/>
    <n v="0"/>
    <n v="1"/>
    <m/>
    <n v="1"/>
    <n v="0"/>
    <n v="0"/>
    <n v="0"/>
    <n v="0"/>
    <n v="0"/>
    <m/>
    <m/>
    <m/>
    <m/>
    <m/>
    <n v="0"/>
    <n v="517531"/>
    <n v="174067"/>
    <x v="10"/>
    <s v="Garden Land"/>
    <m/>
    <m/>
    <m/>
    <m/>
    <m/>
    <m/>
    <m/>
    <m/>
  </r>
  <r>
    <s v="17/3347/FUL"/>
    <x v="0"/>
    <x v="0"/>
    <d v="2018-07-25T00:00:00"/>
    <d v="2021-07-25T00:00:00"/>
    <d v="2018-11-01T00:00:00"/>
    <d v="2019-12-02T00:00:00"/>
    <x v="0"/>
    <x v="0"/>
    <m/>
    <s v="Erection of a pair of four-bedroom semi-detached dwellings together with landscaping, following demolition of existing hall building (use class D2)."/>
    <s v="12 Westfields Avenue_x000d_Barnes_x000d_London_x000d_SW13 0AU"/>
    <s v="SW13 0AU"/>
    <m/>
    <m/>
    <m/>
    <m/>
    <m/>
    <m/>
    <m/>
    <m/>
    <n v="0"/>
    <m/>
    <m/>
    <m/>
    <m/>
    <n v="2"/>
    <m/>
    <m/>
    <m/>
    <m/>
    <n v="2"/>
    <n v="0"/>
    <n v="0"/>
    <n v="0"/>
    <n v="2"/>
    <n v="0"/>
    <n v="0"/>
    <n v="0"/>
    <n v="0"/>
    <n v="2"/>
    <m/>
    <n v="2"/>
    <n v="0"/>
    <n v="0"/>
    <n v="0"/>
    <n v="0"/>
    <n v="0"/>
    <m/>
    <m/>
    <m/>
    <m/>
    <m/>
    <n v="0"/>
    <n v="521397"/>
    <n v="175828"/>
    <x v="6"/>
    <m/>
    <m/>
    <m/>
    <m/>
    <m/>
    <m/>
    <m/>
    <m/>
    <m/>
  </r>
  <r>
    <s v="17/3591/FUL"/>
    <x v="2"/>
    <x v="0"/>
    <d v="2018-10-12T00:00:00"/>
    <d v="2021-10-12T00:00:00"/>
    <m/>
    <d v="2020-03-31T00:00:00"/>
    <x v="0"/>
    <x v="0"/>
    <m/>
    <s v="Erection of external rear steps with railings to the property, new door on first floor side elevation to the rear (first floor) and proposed flues to the front elevation to accommodate the conversion of the existing three bedroom flat into 2x1 bed (1 pers"/>
    <s v="94A High Street_x000d_Whitton_x000d_Twickenham_x000d_TW2 7LN_x000d_"/>
    <s v="TW2 7LN"/>
    <m/>
    <m/>
    <n v="1"/>
    <m/>
    <m/>
    <m/>
    <m/>
    <m/>
    <n v="1"/>
    <m/>
    <n v="2"/>
    <m/>
    <m/>
    <m/>
    <m/>
    <m/>
    <m/>
    <m/>
    <n v="2"/>
    <n v="2"/>
    <n v="0"/>
    <n v="-1"/>
    <n v="0"/>
    <n v="0"/>
    <n v="0"/>
    <n v="0"/>
    <n v="0"/>
    <n v="1"/>
    <m/>
    <n v="1"/>
    <n v="0"/>
    <n v="0"/>
    <n v="0"/>
    <n v="0"/>
    <n v="0"/>
    <m/>
    <m/>
    <m/>
    <m/>
    <m/>
    <n v="0"/>
    <n v="514174"/>
    <n v="173697"/>
    <x v="13"/>
    <m/>
    <s v="Whitton"/>
    <m/>
    <m/>
    <m/>
    <m/>
    <m/>
    <m/>
    <m/>
  </r>
  <r>
    <s v="17/4238/FUL"/>
    <x v="0"/>
    <x v="0"/>
    <d v="2018-02-23T00:00:00"/>
    <d v="2021-02-26T00:00:00"/>
    <d v="2019-02-13T00:00:00"/>
    <d v="2019-10-30T00:00:00"/>
    <x v="0"/>
    <x v="0"/>
    <m/>
    <s v="Demolition of the existing bungalow and construction of a new 6 bedroom detached house, to include external hard and soft landscaping to the front and rear, to be used as a children's home."/>
    <s v="105 Queens Road_x000d_Teddington_x000d_TW11 0LZ"/>
    <s v="TW11 0LZ"/>
    <m/>
    <m/>
    <n v="1"/>
    <m/>
    <m/>
    <m/>
    <m/>
    <m/>
    <n v="1"/>
    <m/>
    <m/>
    <m/>
    <m/>
    <m/>
    <m/>
    <n v="0"/>
    <m/>
    <m/>
    <n v="0"/>
    <n v="0"/>
    <n v="0"/>
    <n v="-1"/>
    <n v="0"/>
    <n v="0"/>
    <n v="0"/>
    <n v="0"/>
    <n v="0"/>
    <n v="-1"/>
    <m/>
    <n v="-1"/>
    <n v="0"/>
    <n v="0"/>
    <n v="0"/>
    <n v="0"/>
    <n v="0"/>
    <m/>
    <m/>
    <m/>
    <m/>
    <m/>
    <n v="0"/>
    <n v="515649"/>
    <n v="170638"/>
    <x v="0"/>
    <m/>
    <m/>
    <m/>
    <m/>
    <m/>
    <m/>
    <m/>
    <m/>
    <m/>
  </r>
  <r>
    <s v="17/4606/FUL"/>
    <x v="0"/>
    <x v="0"/>
    <d v="2018-05-04T00:00:00"/>
    <d v="2021-05-04T00:00:00"/>
    <d v="2018-06-01T00:00:00"/>
    <d v="2019-05-31T00:00:00"/>
    <x v="0"/>
    <x v="0"/>
    <m/>
    <s v="Construction of 2No. 3 bed dwellinghouses (including basement accommodation) with rear plot boundary alteration."/>
    <s v="1 Upper Ham Road_x000d_Ham_x000d_TW10 5LD_x000d__x000d_"/>
    <s v="TW10 5LD"/>
    <m/>
    <m/>
    <n v="1"/>
    <m/>
    <m/>
    <m/>
    <m/>
    <m/>
    <n v="1"/>
    <m/>
    <m/>
    <m/>
    <n v="2"/>
    <m/>
    <m/>
    <m/>
    <m/>
    <m/>
    <n v="2"/>
    <n v="0"/>
    <n v="0"/>
    <n v="1"/>
    <n v="0"/>
    <n v="0"/>
    <n v="0"/>
    <n v="0"/>
    <n v="0"/>
    <n v="1"/>
    <m/>
    <n v="1"/>
    <n v="0"/>
    <n v="0"/>
    <n v="0"/>
    <n v="0"/>
    <n v="0"/>
    <m/>
    <m/>
    <m/>
    <m/>
    <m/>
    <n v="0"/>
    <n v="517784"/>
    <n v="171703"/>
    <x v="15"/>
    <m/>
    <m/>
    <m/>
    <m/>
    <m/>
    <m/>
    <m/>
    <s v="Conservation Area"/>
    <s v="CA7 Ham Common"/>
  </r>
  <r>
    <s v="18/0318/FUL"/>
    <x v="2"/>
    <x v="0"/>
    <d v="2018-10-09T00:00:00"/>
    <d v="2021-10-09T00:00:00"/>
    <d v="2018-11-01T00:00:00"/>
    <d v="2020-03-18T00:00:00"/>
    <x v="0"/>
    <x v="0"/>
    <m/>
    <s v="Change of use of existing basement area to residential (C3); part single; part two-storey rear extension (following demolition of existing rear extensions/outrigger); hip to gable and rear dormer roof extension; two rooflights to the front roofslope; deck"/>
    <s v="Maisonette_x000d_35 Staines Road_x000d_Twickenham_x000d_TW2 5BG_x000d_"/>
    <s v="TW2 5BG"/>
    <n v="2"/>
    <m/>
    <m/>
    <m/>
    <m/>
    <m/>
    <m/>
    <m/>
    <n v="2"/>
    <m/>
    <m/>
    <n v="1"/>
    <m/>
    <m/>
    <m/>
    <m/>
    <m/>
    <m/>
    <n v="1"/>
    <n v="-2"/>
    <n v="1"/>
    <n v="0"/>
    <n v="0"/>
    <n v="0"/>
    <n v="0"/>
    <n v="0"/>
    <n v="0"/>
    <n v="-1"/>
    <m/>
    <n v="-1"/>
    <n v="0"/>
    <n v="0"/>
    <n v="0"/>
    <n v="0"/>
    <n v="0"/>
    <m/>
    <m/>
    <m/>
    <m/>
    <m/>
    <n v="0"/>
    <n v="514998"/>
    <n v="172958"/>
    <x v="2"/>
    <m/>
    <m/>
    <m/>
    <m/>
    <m/>
    <m/>
    <m/>
    <m/>
    <m/>
  </r>
  <r>
    <s v="18/0433/FUL"/>
    <x v="1"/>
    <x v="0"/>
    <d v="2018-07-24T00:00:00"/>
    <d v="2021-07-24T00:00:00"/>
    <d v="2019-05-01T00:00:00"/>
    <d v="2019-09-14T00:00:00"/>
    <x v="0"/>
    <x v="0"/>
    <m/>
    <s v="Change of Use from Respite Centre to Residential Use. To provide 1No. Studio &amp; 3No. 1 Bed Apartments, with associated Amenity Space &amp; Parking."/>
    <s v="26 Egerton Road_x000d_Twickenham_x000d_TW2 7SP"/>
    <s v="TW2 7SP"/>
    <m/>
    <m/>
    <m/>
    <m/>
    <m/>
    <m/>
    <m/>
    <m/>
    <n v="0"/>
    <m/>
    <n v="4"/>
    <m/>
    <m/>
    <m/>
    <m/>
    <m/>
    <m/>
    <m/>
    <n v="4"/>
    <n v="4"/>
    <n v="0"/>
    <n v="0"/>
    <n v="0"/>
    <n v="0"/>
    <n v="0"/>
    <n v="0"/>
    <n v="0"/>
    <n v="4"/>
    <m/>
    <n v="4"/>
    <n v="0"/>
    <n v="0"/>
    <n v="0"/>
    <n v="0"/>
    <n v="0"/>
    <m/>
    <m/>
    <m/>
    <m/>
    <m/>
    <n v="0"/>
    <n v="515424"/>
    <n v="173951"/>
    <x v="1"/>
    <m/>
    <m/>
    <m/>
    <m/>
    <m/>
    <m/>
    <m/>
    <m/>
    <m/>
  </r>
  <r>
    <s v="18/0665/FUL"/>
    <x v="0"/>
    <x v="0"/>
    <d v="2018-09-20T00:00:00"/>
    <d v="2021-09-20T00:00:00"/>
    <d v="2018-04-09T00:00:00"/>
    <d v="2019-08-01T00:00:00"/>
    <x v="0"/>
    <x v="0"/>
    <m/>
    <s v="Demolition of an existing detached bungalow, garage and outbuildings and the erection of 2No. semi-detached 3 bedroom houses with associated parking, cycle and refuse store and hard and soft landscaping. The removal of recessed entrance gates and erection"/>
    <s v="243 Stanley Road_x000d_Twickenham_x000d_TW2 5NL"/>
    <s v="TW2 5NL"/>
    <m/>
    <m/>
    <n v="1"/>
    <m/>
    <m/>
    <m/>
    <m/>
    <m/>
    <n v="1"/>
    <m/>
    <m/>
    <m/>
    <n v="2"/>
    <m/>
    <m/>
    <m/>
    <m/>
    <m/>
    <n v="2"/>
    <n v="0"/>
    <n v="0"/>
    <n v="1"/>
    <n v="0"/>
    <n v="0"/>
    <n v="0"/>
    <n v="0"/>
    <n v="0"/>
    <n v="1"/>
    <m/>
    <n v="1"/>
    <n v="0"/>
    <n v="0"/>
    <n v="0"/>
    <n v="0"/>
    <n v="0"/>
    <m/>
    <m/>
    <m/>
    <m/>
    <m/>
    <n v="0"/>
    <n v="514859"/>
    <n v="172254"/>
    <x v="5"/>
    <m/>
    <m/>
    <m/>
    <m/>
    <m/>
    <m/>
    <m/>
    <m/>
    <m/>
  </r>
  <r>
    <s v="18/0737/FUL"/>
    <x v="1"/>
    <x v="0"/>
    <d v="2018-12-12T00:00:00"/>
    <d v="2021-12-13T00:00:00"/>
    <d v="2019-01-08T00:00:00"/>
    <d v="2020-02-07T00:00:00"/>
    <x v="0"/>
    <x v="0"/>
    <m/>
    <s v="Change of use of rear part of ground floor from retail use (Class A1) to residential use (Class C3) to create a 1No. one-bedroom dwelling with basement accommodation excavated."/>
    <s v="70 White Hart Lane_x000d_Barnes_x000d_London_x000d_SW13 0PZ"/>
    <s v="SW13 0PZ"/>
    <m/>
    <m/>
    <m/>
    <m/>
    <m/>
    <m/>
    <m/>
    <m/>
    <n v="0"/>
    <m/>
    <n v="1"/>
    <m/>
    <m/>
    <m/>
    <m/>
    <m/>
    <m/>
    <m/>
    <n v="1"/>
    <n v="1"/>
    <n v="0"/>
    <n v="0"/>
    <n v="0"/>
    <n v="0"/>
    <n v="0"/>
    <n v="0"/>
    <n v="0"/>
    <n v="1"/>
    <m/>
    <n v="1"/>
    <n v="0"/>
    <n v="0"/>
    <n v="0"/>
    <n v="0"/>
    <n v="0"/>
    <m/>
    <m/>
    <m/>
    <m/>
    <m/>
    <n v="0"/>
    <n v="521322"/>
    <n v="175815"/>
    <x v="6"/>
    <m/>
    <m/>
    <m/>
    <s v="Mixed Use Area"/>
    <s v="White Hart lane"/>
    <m/>
    <m/>
    <m/>
    <m/>
  </r>
  <r>
    <s v="18/0743/FUL"/>
    <x v="0"/>
    <x v="0"/>
    <d v="2018-08-23T00:00:00"/>
    <d v="2021-08-23T00:00:00"/>
    <m/>
    <d v="2019-05-28T00:00:00"/>
    <x v="0"/>
    <x v="0"/>
    <m/>
    <s v="Demolition of the existing garage and concrete slabs and erection of 1 no. single storey two bedroom dwelling with green roof to the rear of 4 Sixth Cross Road. Demolition of existing garage to the rear of number 8 Sixth Cross Road to facilitate provision"/>
    <s v="4 Sixth Cross Road_x000d_Twickenham_x000d_TW2 5PB_x000d_"/>
    <s v="TW2 5PB"/>
    <m/>
    <m/>
    <m/>
    <m/>
    <m/>
    <m/>
    <m/>
    <m/>
    <n v="0"/>
    <m/>
    <m/>
    <n v="1"/>
    <m/>
    <m/>
    <m/>
    <m/>
    <m/>
    <m/>
    <n v="1"/>
    <n v="0"/>
    <n v="1"/>
    <n v="0"/>
    <n v="0"/>
    <n v="0"/>
    <n v="0"/>
    <n v="0"/>
    <n v="0"/>
    <n v="1"/>
    <m/>
    <n v="1"/>
    <n v="0"/>
    <n v="0"/>
    <n v="0"/>
    <n v="0"/>
    <n v="0"/>
    <m/>
    <m/>
    <m/>
    <m/>
    <m/>
    <n v="0"/>
    <n v="514675"/>
    <n v="172117"/>
    <x v="2"/>
    <s v="Garden Land"/>
    <m/>
    <m/>
    <m/>
    <m/>
    <m/>
    <m/>
    <m/>
    <m/>
  </r>
  <r>
    <s v="18/0745/FUL"/>
    <x v="2"/>
    <x v="0"/>
    <d v="2018-07-06T00:00:00"/>
    <d v="2021-07-06T00:00:00"/>
    <d v="2018-10-01T00:00:00"/>
    <d v="2019-10-15T00:00:00"/>
    <x v="0"/>
    <x v="0"/>
    <m/>
    <s v="Part two-storey rear extension including Juliet balcony at ground floor level rear elevation; part lower ground floor side and rear extension to allow for the conversion of the existing dwellinghouse into 2x2 bed (1X 2B4P and 1x 2B3P flats); retention of"/>
    <s v="149 High Street_x000d_Teddington_x000d_TW11 8HH"/>
    <s v="TW11 8HH"/>
    <m/>
    <m/>
    <m/>
    <m/>
    <n v="1"/>
    <m/>
    <m/>
    <m/>
    <n v="1"/>
    <m/>
    <m/>
    <n v="2"/>
    <m/>
    <m/>
    <m/>
    <m/>
    <m/>
    <m/>
    <n v="2"/>
    <n v="0"/>
    <n v="2"/>
    <n v="0"/>
    <n v="0"/>
    <n v="-1"/>
    <n v="0"/>
    <n v="0"/>
    <n v="0"/>
    <n v="1"/>
    <m/>
    <n v="1"/>
    <n v="0"/>
    <n v="0"/>
    <n v="0"/>
    <n v="0"/>
    <n v="0"/>
    <m/>
    <m/>
    <m/>
    <m/>
    <m/>
    <n v="0"/>
    <n v="516418"/>
    <n v="171190"/>
    <x v="0"/>
    <m/>
    <m/>
    <m/>
    <m/>
    <m/>
    <m/>
    <m/>
    <s v="Conservation Area"/>
    <s v="CA27 Teddington Lock"/>
  </r>
  <r>
    <s v="18/0860/GPD15"/>
    <x v="1"/>
    <x v="1"/>
    <d v="2018-05-08T00:00:00"/>
    <d v="2021-05-08T00:00:00"/>
    <m/>
    <d v="2019-06-14T00:00:00"/>
    <x v="0"/>
    <x v="0"/>
    <m/>
    <s v="Change of use from B1(c) to C3 to provide seven new self-contained studio residential dwellings."/>
    <s v="2 Elmfield Avenue_x000d_Teddington_x000d_TW11 8BS_x000d_"/>
    <s v="TW11 8BS"/>
    <m/>
    <m/>
    <m/>
    <m/>
    <m/>
    <m/>
    <m/>
    <m/>
    <n v="0"/>
    <m/>
    <n v="7"/>
    <m/>
    <m/>
    <m/>
    <m/>
    <m/>
    <m/>
    <m/>
    <n v="7"/>
    <n v="7"/>
    <n v="0"/>
    <n v="0"/>
    <n v="0"/>
    <n v="0"/>
    <n v="0"/>
    <n v="0"/>
    <n v="0"/>
    <n v="7"/>
    <m/>
    <n v="7"/>
    <n v="0"/>
    <n v="0"/>
    <n v="0"/>
    <n v="0"/>
    <n v="0"/>
    <m/>
    <m/>
    <m/>
    <m/>
    <m/>
    <n v="0"/>
    <n v="516011"/>
    <n v="171165"/>
    <x v="0"/>
    <m/>
    <s v="Teddington"/>
    <m/>
    <m/>
    <m/>
    <m/>
    <m/>
    <m/>
    <m/>
  </r>
  <r>
    <s v="18/1175/FUL"/>
    <x v="4"/>
    <x v="0"/>
    <d v="2018-10-05T00:00:00"/>
    <d v="2021-10-05T00:00:00"/>
    <d v="2019-05-17T00:00:00"/>
    <d v="2019-09-10T00:00:00"/>
    <x v="0"/>
    <x v="0"/>
    <m/>
    <s v="Construction of 3 front roof dormer windows to facilitate the creation of a new two-bedroom flat in the roof space, including the alteration to the layout of flat 19 (resulting in a decrease in size) to provide access."/>
    <s v="17 - 20 Tersha Street_x000d_Richmond_x000d__x000d_"/>
    <s v="TW9 2LY"/>
    <m/>
    <m/>
    <m/>
    <m/>
    <m/>
    <m/>
    <m/>
    <m/>
    <n v="0"/>
    <m/>
    <m/>
    <n v="1"/>
    <m/>
    <m/>
    <m/>
    <m/>
    <m/>
    <m/>
    <n v="1"/>
    <n v="0"/>
    <n v="1"/>
    <n v="0"/>
    <n v="0"/>
    <n v="0"/>
    <n v="0"/>
    <n v="0"/>
    <n v="0"/>
    <n v="1"/>
    <m/>
    <n v="1"/>
    <n v="0"/>
    <n v="0"/>
    <n v="0"/>
    <n v="0"/>
    <n v="0"/>
    <m/>
    <m/>
    <m/>
    <m/>
    <m/>
    <n v="0"/>
    <n v="518588"/>
    <n v="175372"/>
    <x v="12"/>
    <m/>
    <m/>
    <m/>
    <m/>
    <m/>
    <m/>
    <m/>
    <m/>
    <m/>
  </r>
  <r>
    <s v="18/1360/GPD15"/>
    <x v="1"/>
    <x v="1"/>
    <d v="2018-06-15T00:00:00"/>
    <d v="2021-06-15T00:00:00"/>
    <d v="2019-05-03T00:00:00"/>
    <d v="2019-09-12T00:00:00"/>
    <x v="0"/>
    <x v="0"/>
    <m/>
    <s v="Change of use of ground floor from B1 (office) to C3 (dwellinghouse) to provide a 1 bedroom unit."/>
    <s v="1 Coval Passage_x000d_East Sheen_x000d_London_x000d_SW14 7RE_x000d_"/>
    <s v="SW14 7RE"/>
    <m/>
    <m/>
    <m/>
    <m/>
    <m/>
    <m/>
    <m/>
    <m/>
    <n v="0"/>
    <m/>
    <n v="1"/>
    <m/>
    <m/>
    <m/>
    <m/>
    <m/>
    <m/>
    <m/>
    <n v="1"/>
    <n v="1"/>
    <n v="0"/>
    <n v="0"/>
    <n v="0"/>
    <n v="0"/>
    <n v="0"/>
    <n v="0"/>
    <n v="0"/>
    <n v="1"/>
    <m/>
    <n v="1"/>
    <n v="0"/>
    <n v="0"/>
    <n v="0"/>
    <n v="0"/>
    <n v="0"/>
    <m/>
    <m/>
    <m/>
    <m/>
    <m/>
    <n v="0"/>
    <n v="520124"/>
    <n v="175293"/>
    <x v="7"/>
    <m/>
    <s v="East Sheen"/>
    <m/>
    <m/>
    <m/>
    <m/>
    <m/>
    <m/>
    <m/>
  </r>
  <r>
    <s v="18/1566/FUL"/>
    <x v="2"/>
    <x v="0"/>
    <d v="2018-09-25T00:00:00"/>
    <d v="2021-09-25T00:00:00"/>
    <d v="2019-01-31T00:00:00"/>
    <d v="2019-10-10T00:00:00"/>
    <x v="0"/>
    <x v="0"/>
    <m/>
    <s v="Second floor rear roof extension, replacement windows on first floor rear and side elevations, 2 no. rooflights on front roof slope to facilitate the conversion of existing 3 bed dwelling house to form 2x 2 bed flats and 1x 1 bed flat and associated cycle"/>
    <s v="16 Whitton Road_x000d_Twickenham_x000d_TW1 1BJ"/>
    <s v="TW1 1BJ"/>
    <m/>
    <m/>
    <n v="1"/>
    <m/>
    <m/>
    <m/>
    <m/>
    <m/>
    <n v="1"/>
    <m/>
    <n v="1"/>
    <n v="2"/>
    <m/>
    <m/>
    <m/>
    <m/>
    <m/>
    <m/>
    <n v="3"/>
    <n v="1"/>
    <n v="2"/>
    <n v="-1"/>
    <n v="0"/>
    <n v="0"/>
    <n v="0"/>
    <n v="0"/>
    <n v="0"/>
    <n v="2"/>
    <m/>
    <n v="2"/>
    <n v="0"/>
    <n v="0"/>
    <n v="0"/>
    <n v="0"/>
    <n v="0"/>
    <m/>
    <m/>
    <m/>
    <m/>
    <m/>
    <n v="0"/>
    <n v="515965"/>
    <n v="173782"/>
    <x v="1"/>
    <m/>
    <m/>
    <m/>
    <m/>
    <m/>
    <m/>
    <m/>
    <m/>
    <m/>
  </r>
  <r>
    <s v="18/1569/FUL"/>
    <x v="2"/>
    <x v="0"/>
    <d v="2018-08-17T00:00:00"/>
    <d v="2022-03-11T00:00:00"/>
    <d v="2019-03-31T00:00:00"/>
    <d v="2019-05-31T00:00:00"/>
    <x v="0"/>
    <x v="0"/>
    <m/>
    <s v="Reversion of to two self-contained flats into single family dwelling house."/>
    <s v="14 Norman Avenue_x000d_Twickenham_x000d_TW1 2LY"/>
    <s v="TW1 2LY"/>
    <m/>
    <n v="2"/>
    <m/>
    <m/>
    <m/>
    <m/>
    <m/>
    <m/>
    <n v="2"/>
    <m/>
    <m/>
    <m/>
    <m/>
    <n v="1"/>
    <m/>
    <m/>
    <m/>
    <m/>
    <n v="1"/>
    <n v="0"/>
    <n v="-2"/>
    <n v="0"/>
    <n v="1"/>
    <n v="0"/>
    <n v="0"/>
    <n v="0"/>
    <n v="0"/>
    <n v="-1"/>
    <m/>
    <n v="-1"/>
    <n v="0"/>
    <n v="0"/>
    <n v="0"/>
    <n v="0"/>
    <n v="0"/>
    <m/>
    <m/>
    <m/>
    <m/>
    <m/>
    <n v="0"/>
    <n v="516997"/>
    <n v="173966"/>
    <x v="10"/>
    <m/>
    <m/>
    <m/>
    <m/>
    <m/>
    <m/>
    <m/>
    <s v="Conservation Area"/>
    <s v="CA21 Cambridge Park East Twickenham"/>
  </r>
  <r>
    <s v="18/1722/GPD13"/>
    <x v="1"/>
    <x v="1"/>
    <d v="2018-07-12T00:00:00"/>
    <d v="2021-07-12T00:00:00"/>
    <d v="2018-04-02T00:00:00"/>
    <d v="2019-10-14T00:00:00"/>
    <x v="0"/>
    <x v="0"/>
    <m/>
    <s v="Change of use from A1(Retail) to C3 (Residential) to create a two bedroom flat."/>
    <s v="Ground Floor_x000d_204 Stanley Road_x000d_Teddington_x000d_TW11 8UE_x000d_"/>
    <s v="TW11 8UE"/>
    <m/>
    <m/>
    <m/>
    <m/>
    <m/>
    <m/>
    <m/>
    <m/>
    <n v="0"/>
    <m/>
    <m/>
    <n v="1"/>
    <m/>
    <m/>
    <m/>
    <m/>
    <m/>
    <m/>
    <n v="1"/>
    <n v="0"/>
    <n v="1"/>
    <n v="0"/>
    <n v="0"/>
    <n v="0"/>
    <n v="0"/>
    <n v="0"/>
    <n v="0"/>
    <n v="1"/>
    <m/>
    <n v="1"/>
    <n v="0"/>
    <n v="0"/>
    <n v="0"/>
    <n v="0"/>
    <n v="0"/>
    <m/>
    <m/>
    <m/>
    <m/>
    <m/>
    <n v="0"/>
    <n v="515113"/>
    <n v="171634"/>
    <x v="11"/>
    <m/>
    <m/>
    <m/>
    <s v="Mixed Use Area"/>
    <s v="Stanley Road"/>
    <m/>
    <m/>
    <m/>
    <m/>
  </r>
  <r>
    <s v="18/1817/GPD15"/>
    <x v="1"/>
    <x v="1"/>
    <d v="2018-06-29T00:00:00"/>
    <d v="2021-06-29T00:00:00"/>
    <m/>
    <d v="2020-02-21T00:00:00"/>
    <x v="0"/>
    <x v="0"/>
    <m/>
    <s v="Change of use from an office (Use Class B1(a)) to residential (Use Class C3) to provide 1 x 4 bed dwellinghouse."/>
    <s v="9 Elmtree Road_x000d_Teddington_x000d_TW11 8SJ_x000d_"/>
    <s v="TW11 8SJ"/>
    <m/>
    <m/>
    <m/>
    <m/>
    <m/>
    <m/>
    <m/>
    <m/>
    <n v="0"/>
    <m/>
    <m/>
    <m/>
    <m/>
    <n v="1"/>
    <m/>
    <m/>
    <m/>
    <m/>
    <n v="1"/>
    <n v="0"/>
    <n v="0"/>
    <n v="0"/>
    <n v="1"/>
    <n v="0"/>
    <n v="0"/>
    <n v="0"/>
    <n v="0"/>
    <n v="1"/>
    <m/>
    <n v="1"/>
    <n v="0"/>
    <n v="0"/>
    <n v="0"/>
    <n v="0"/>
    <n v="0"/>
    <m/>
    <m/>
    <m/>
    <m/>
    <m/>
    <n v="0"/>
    <n v="515379"/>
    <n v="171492"/>
    <x v="11"/>
    <m/>
    <m/>
    <m/>
    <m/>
    <m/>
    <m/>
    <m/>
    <m/>
    <m/>
  </r>
  <r>
    <s v="18/2296/ES191"/>
    <x v="2"/>
    <x v="0"/>
    <d v="2018-08-20T00:00:00"/>
    <d v="2019-11-29T00:00:00"/>
    <m/>
    <d v="2019-11-29T00:00:00"/>
    <x v="0"/>
    <x v="0"/>
    <m/>
    <s v="Use of the ground floor (left annex) as a self-contained dwelling (C3)."/>
    <s v="706A Hanworth Road_x000d_Whitton_x000d_Hounslow_x000d_TW4 5NT_x000d_"/>
    <s v="TW4 5NT"/>
    <m/>
    <m/>
    <m/>
    <m/>
    <n v="1"/>
    <m/>
    <m/>
    <m/>
    <n v="1"/>
    <m/>
    <m/>
    <n v="1"/>
    <n v="1"/>
    <m/>
    <m/>
    <m/>
    <m/>
    <m/>
    <n v="2"/>
    <n v="0"/>
    <n v="1"/>
    <n v="1"/>
    <n v="0"/>
    <n v="-1"/>
    <n v="0"/>
    <n v="0"/>
    <n v="0"/>
    <n v="1"/>
    <m/>
    <n v="1"/>
    <n v="0"/>
    <n v="0"/>
    <n v="0"/>
    <n v="0"/>
    <n v="0"/>
    <m/>
    <m/>
    <m/>
    <m/>
    <m/>
    <n v="0"/>
    <n v="512613"/>
    <n v="173404"/>
    <x v="14"/>
    <m/>
    <m/>
    <m/>
    <m/>
    <m/>
    <m/>
    <m/>
    <m/>
    <m/>
  </r>
  <r>
    <s v="18/2620/FUL"/>
    <x v="4"/>
    <x v="0"/>
    <d v="2019-01-04T00:00:00"/>
    <d v="2022-01-04T00:00:00"/>
    <d v="2018-04-02T00:00:00"/>
    <d v="2019-12-02T00:00:00"/>
    <x v="0"/>
    <x v="0"/>
    <m/>
    <s v="Single storey rear extension to facilitate the provision of 1 x studio flat including secure bicycle storage for the proposed new unit and the existing ground floor and first floor units in the existing building."/>
    <s v="Ground Floor _x000d_204 Stanley Road_x000d_Teddington_x000d_TW11 8UE"/>
    <s v="TW11 8UE"/>
    <m/>
    <m/>
    <m/>
    <m/>
    <m/>
    <m/>
    <m/>
    <m/>
    <n v="0"/>
    <m/>
    <n v="1"/>
    <m/>
    <m/>
    <m/>
    <m/>
    <m/>
    <m/>
    <m/>
    <n v="1"/>
    <n v="1"/>
    <n v="0"/>
    <n v="0"/>
    <n v="0"/>
    <n v="0"/>
    <n v="0"/>
    <n v="0"/>
    <n v="0"/>
    <n v="1"/>
    <m/>
    <n v="1"/>
    <n v="0"/>
    <n v="0"/>
    <n v="0"/>
    <n v="0"/>
    <n v="0"/>
    <m/>
    <m/>
    <m/>
    <m/>
    <m/>
    <n v="0"/>
    <n v="515112"/>
    <n v="171634"/>
    <x v="11"/>
    <m/>
    <m/>
    <m/>
    <s v="Mixed Use Area"/>
    <s v="Stanley Road"/>
    <m/>
    <m/>
    <m/>
    <m/>
  </r>
  <r>
    <s v="19/0141/ES191"/>
    <x v="1"/>
    <x v="0"/>
    <d v="2019-06-21T00:00:00"/>
    <d v="2019-06-21T00:00:00"/>
    <d v="2019-06-21T00:00:00"/>
    <d v="2019-06-21T00:00:00"/>
    <x v="0"/>
    <x v="0"/>
    <m/>
    <s v="Continued use of part of the property (excluding Unit 1) as 2No. flats in multiple occupation for upto 6 people."/>
    <s v="The Boathouse Ranelagh Drive Twickenham TW1 1QZ"/>
    <s v="TW1 1QZ"/>
    <m/>
    <m/>
    <m/>
    <m/>
    <m/>
    <m/>
    <m/>
    <m/>
    <n v="0"/>
    <m/>
    <m/>
    <m/>
    <m/>
    <n v="0"/>
    <n v="0"/>
    <m/>
    <m/>
    <m/>
    <n v="0"/>
    <n v="0"/>
    <n v="0"/>
    <n v="0"/>
    <n v="0"/>
    <n v="0"/>
    <n v="0"/>
    <n v="0"/>
    <n v="0"/>
    <n v="0"/>
    <m/>
    <n v="0"/>
    <n v="0"/>
    <n v="0"/>
    <n v="0"/>
    <n v="0"/>
    <n v="0"/>
    <m/>
    <m/>
    <m/>
    <m/>
    <m/>
    <n v="0"/>
    <n v="516877"/>
    <n v="175059"/>
    <x v="1"/>
    <m/>
    <m/>
    <s v="Thames Policy Area"/>
    <m/>
    <m/>
    <m/>
    <s v="Thames Old Deer Park"/>
    <s v="Conservation Area"/>
    <s v="CA19 St Margarets"/>
  </r>
  <r>
    <s v="19/0475/FUL"/>
    <x v="3"/>
    <x v="0"/>
    <d v="2019-07-31T00:00:00"/>
    <d v="2022-07-31T00:00:00"/>
    <m/>
    <d v="2020-02-26T00:00:00"/>
    <x v="0"/>
    <x v="0"/>
    <m/>
    <s v="Construction of additional storey, two storey front extension, replacement windows and doors on all elevations and alterations to external materials on elevations to facilitate the change of use of building and 6 no. parking spaces from offices (Class B1("/>
    <s v="1 - 2 Archer Mews_x000d_Hampton Hill_x000d_TW12 1RN_x000d_"/>
    <s v="TW12 1RN"/>
    <m/>
    <m/>
    <m/>
    <m/>
    <m/>
    <m/>
    <m/>
    <m/>
    <n v="0"/>
    <m/>
    <n v="4"/>
    <n v="3"/>
    <m/>
    <m/>
    <m/>
    <m/>
    <m/>
    <m/>
    <n v="7"/>
    <n v="4"/>
    <n v="3"/>
    <n v="0"/>
    <n v="0"/>
    <n v="0"/>
    <n v="0"/>
    <n v="0"/>
    <n v="0"/>
    <n v="7"/>
    <m/>
    <n v="7"/>
    <n v="0"/>
    <n v="0"/>
    <n v="0"/>
    <n v="0"/>
    <n v="0"/>
    <m/>
    <m/>
    <m/>
    <m/>
    <m/>
    <n v="0"/>
    <n v="514280"/>
    <n v="170996"/>
    <x v="11"/>
    <m/>
    <m/>
    <m/>
    <s v="Mixed Use Area"/>
    <s v="High Street"/>
    <m/>
    <m/>
    <m/>
    <m/>
  </r>
  <r>
    <s v="19/0739/FUL"/>
    <x v="2"/>
    <x v="0"/>
    <d v="2019-10-23T00:00:00"/>
    <d v="2022-10-23T00:00:00"/>
    <m/>
    <d v="2019-10-23T00:00:00"/>
    <x v="0"/>
    <x v="0"/>
    <m/>
    <s v="Reinstatement of Flat 9 on Ground Floor at Clarendon House, as consented in Planning Approval 02/1505. (Since 2003 the accommodation has been used as part of Flat 1 to provide a family-sized flat)"/>
    <s v="Flat 1_x000d_Clarendon Gardens_x000d_23 Kew Gardens Road_x000d_Kew_x000d_Richmond_x000d_TW9 3HD_x000d_"/>
    <s v="TW9 3HD"/>
    <m/>
    <m/>
    <n v="1"/>
    <m/>
    <m/>
    <m/>
    <m/>
    <m/>
    <n v="1"/>
    <m/>
    <n v="1"/>
    <n v="1"/>
    <m/>
    <m/>
    <m/>
    <m/>
    <m/>
    <m/>
    <n v="2"/>
    <n v="1"/>
    <n v="1"/>
    <n v="-1"/>
    <n v="0"/>
    <n v="0"/>
    <n v="0"/>
    <n v="0"/>
    <n v="0"/>
    <n v="1"/>
    <m/>
    <n v="1"/>
    <n v="0"/>
    <n v="0"/>
    <n v="0"/>
    <n v="0"/>
    <n v="0"/>
    <m/>
    <m/>
    <m/>
    <m/>
    <m/>
    <n v="0"/>
    <n v="519011"/>
    <n v="176963"/>
    <x v="9"/>
    <m/>
    <m/>
    <m/>
    <m/>
    <m/>
    <m/>
    <m/>
    <s v="Conservation Area"/>
    <s v="CA15 Kew Gardens Kew"/>
  </r>
  <r>
    <s v="19/1100/FUL"/>
    <x v="1"/>
    <x v="0"/>
    <d v="2019-10-10T00:00:00"/>
    <d v="2022-10-10T00:00:00"/>
    <d v="2019-10-01T00:00:00"/>
    <d v="2020-01-31T00:00:00"/>
    <x v="0"/>
    <x v="0"/>
    <m/>
    <s v="Change of use of rear part of upper ground floor to C3 (residential) to create 1 no. 1B1P flat, alterations to the front elevation, and minor internal changes to the lower ground floor associated with the commercial unit."/>
    <s v="208 - 212 Amyand Park Road_x000d_Twickenham_x000d_TW1 3HY_x000d__x000d__x000d_"/>
    <s v="TW1 3HY"/>
    <m/>
    <m/>
    <m/>
    <m/>
    <m/>
    <m/>
    <m/>
    <m/>
    <n v="0"/>
    <m/>
    <n v="1"/>
    <m/>
    <m/>
    <m/>
    <m/>
    <m/>
    <m/>
    <m/>
    <n v="1"/>
    <n v="1"/>
    <n v="0"/>
    <n v="0"/>
    <n v="0"/>
    <n v="0"/>
    <n v="0"/>
    <n v="0"/>
    <n v="0"/>
    <n v="1"/>
    <m/>
    <n v="1"/>
    <n v="0"/>
    <n v="0"/>
    <n v="0"/>
    <n v="0"/>
    <n v="0"/>
    <m/>
    <m/>
    <m/>
    <m/>
    <m/>
    <n v="0"/>
    <n v="516817"/>
    <n v="174222"/>
    <x v="1"/>
    <m/>
    <m/>
    <m/>
    <s v="Mixed Use Area"/>
    <s v="St Margarets"/>
    <m/>
    <m/>
    <s v="Conservation Area"/>
    <s v="CA49 Crown Road St Margarets"/>
  </r>
  <r>
    <s v="19/1217/ES191"/>
    <x v="2"/>
    <x v="0"/>
    <d v="2019-06-11T00:00:00"/>
    <d v="2019-06-11T00:00:00"/>
    <d v="2019-06-11T00:00:00"/>
    <d v="2019-06-11T00:00:00"/>
    <x v="0"/>
    <x v="0"/>
    <m/>
    <s v="Establish use of property as a separate self-contained dwellinghouse"/>
    <s v="1A Riverside House_x000d_Riverside_x000d_Twickenham_x000d_TW1 3DJ_x000d_"/>
    <s v="TW1 3DJ"/>
    <m/>
    <m/>
    <m/>
    <m/>
    <m/>
    <m/>
    <n v="1"/>
    <m/>
    <n v="1"/>
    <m/>
    <m/>
    <m/>
    <n v="1"/>
    <n v="1"/>
    <m/>
    <m/>
    <m/>
    <m/>
    <n v="2"/>
    <n v="0"/>
    <n v="0"/>
    <n v="1"/>
    <n v="1"/>
    <n v="0"/>
    <n v="0"/>
    <n v="-1"/>
    <n v="0"/>
    <n v="1"/>
    <m/>
    <n v="1"/>
    <n v="0"/>
    <n v="0"/>
    <n v="0"/>
    <n v="0"/>
    <n v="0"/>
    <m/>
    <m/>
    <m/>
    <m/>
    <m/>
    <n v="0"/>
    <n v="516873"/>
    <n v="173350"/>
    <x v="10"/>
    <m/>
    <m/>
    <s v="Thames Policy Area"/>
    <m/>
    <m/>
    <m/>
    <m/>
    <s v="Conservation Area"/>
    <s v="CA8 Twickenham Riverside"/>
  </r>
  <r>
    <s v="19/2022/ES191"/>
    <x v="2"/>
    <x v="0"/>
    <d v="2019-09-16T00:00:00"/>
    <d v="2022-09-17T00:00:00"/>
    <m/>
    <d v="2019-09-17T00:00:00"/>
    <x v="0"/>
    <x v="0"/>
    <m/>
    <s v="Certificate of Lawfulness to establish the operational development of the building as a single family dwellinghouse"/>
    <s v="4 St Albans Gardens_x000d_Teddington_x000d_TW11 8AE"/>
    <s v="TW11 8AE"/>
    <n v="1"/>
    <m/>
    <m/>
    <n v="1"/>
    <m/>
    <m/>
    <m/>
    <m/>
    <n v="2"/>
    <m/>
    <m/>
    <m/>
    <m/>
    <m/>
    <n v="1"/>
    <m/>
    <m/>
    <n v="0"/>
    <n v="1"/>
    <n v="-1"/>
    <n v="0"/>
    <n v="0"/>
    <n v="-1"/>
    <n v="1"/>
    <n v="0"/>
    <n v="0"/>
    <n v="0"/>
    <n v="-1"/>
    <m/>
    <n v="-1"/>
    <n v="0"/>
    <n v="0"/>
    <n v="0"/>
    <n v="0"/>
    <n v="0"/>
    <m/>
    <m/>
    <m/>
    <m/>
    <m/>
    <n v="0"/>
    <n v="516420"/>
    <n v="171274"/>
    <x v="0"/>
    <m/>
    <m/>
    <m/>
    <m/>
    <m/>
    <m/>
    <m/>
    <m/>
    <m/>
  </r>
  <r>
    <s v="19/2544/FUL"/>
    <x v="1"/>
    <x v="0"/>
    <d v="2019-12-10T00:00:00"/>
    <d v="2022-12-10T00:00:00"/>
    <m/>
    <d v="2019-12-14T00:00:00"/>
    <x v="0"/>
    <x v="0"/>
    <m/>
    <s v="Change of use to 114 Hanworth Road from residential use (C3) to educational use (D1) for use as additional education faclity for Hampton School wth parking to rear"/>
    <s v="114 Hanworth Road_x000d_Hampton_x000d_TW12 3EZ_x000d_"/>
    <s v="TW12 3EZ"/>
    <m/>
    <n v="1"/>
    <m/>
    <m/>
    <m/>
    <m/>
    <m/>
    <m/>
    <n v="1"/>
    <m/>
    <m/>
    <m/>
    <m/>
    <m/>
    <m/>
    <m/>
    <m/>
    <m/>
    <n v="0"/>
    <n v="0"/>
    <n v="-1"/>
    <n v="0"/>
    <n v="0"/>
    <n v="0"/>
    <n v="0"/>
    <n v="0"/>
    <n v="0"/>
    <n v="-1"/>
    <m/>
    <n v="-1"/>
    <n v="0"/>
    <n v="0"/>
    <n v="0"/>
    <n v="0"/>
    <n v="0"/>
    <m/>
    <m/>
    <m/>
    <m/>
    <m/>
    <n v="0"/>
    <n v="513192"/>
    <n v="171188"/>
    <x v="16"/>
    <m/>
    <m/>
    <m/>
    <m/>
    <m/>
    <m/>
    <m/>
    <m/>
    <m/>
  </r>
  <r>
    <s v="19/3241/FUL"/>
    <x v="4"/>
    <x v="0"/>
    <d v="2020-03-13T00:00:00"/>
    <d v="2023-03-16T00:00:00"/>
    <d v="2020-03-16T00:00:00"/>
    <d v="2020-03-16T00:00:00"/>
    <x v="0"/>
    <x v="0"/>
    <m/>
    <s v="Extension of the garage to facilitate the creation of 1 x 1 bed dwelling."/>
    <s v="Land Adjacent To_x000d_29 Rivermeads Avenue_x000d_Twickenham_x000d__x000d_"/>
    <s v="TW2 5JL"/>
    <m/>
    <m/>
    <m/>
    <m/>
    <m/>
    <m/>
    <m/>
    <m/>
    <n v="0"/>
    <m/>
    <n v="1"/>
    <m/>
    <m/>
    <m/>
    <m/>
    <m/>
    <m/>
    <m/>
    <n v="1"/>
    <n v="1"/>
    <n v="0"/>
    <n v="0"/>
    <n v="0"/>
    <n v="0"/>
    <n v="0"/>
    <n v="0"/>
    <n v="0"/>
    <n v="1"/>
    <m/>
    <n v="1"/>
    <n v="0"/>
    <n v="0"/>
    <n v="0"/>
    <n v="0"/>
    <n v="0"/>
    <m/>
    <m/>
    <m/>
    <m/>
    <m/>
    <n v="0"/>
    <n v="513712"/>
    <n v="172398"/>
    <x v="2"/>
    <m/>
    <m/>
    <m/>
    <m/>
    <m/>
    <m/>
    <m/>
    <m/>
    <m/>
  </r>
  <r>
    <s v="19/3586/ES191"/>
    <x v="1"/>
    <x v="0"/>
    <d v="2020-01-20T00:00:00"/>
    <d v="2020-01-20T00:00:00"/>
    <m/>
    <d v="2020-01-20T00:00:00"/>
    <x v="0"/>
    <x v="0"/>
    <m/>
    <s v="Lawful development certificate for the existing use of the dwelling as a 6no. bedroom house in multiple occupation"/>
    <s v="29 Heathside_x000d_Whitton_x000d_Hounslow_x000d_TW4 5NJ_x000d_"/>
    <s v="TW4 5NJ"/>
    <m/>
    <m/>
    <n v="1"/>
    <m/>
    <m/>
    <m/>
    <m/>
    <m/>
    <n v="1"/>
    <m/>
    <m/>
    <m/>
    <m/>
    <m/>
    <m/>
    <m/>
    <m/>
    <m/>
    <n v="0"/>
    <n v="0"/>
    <n v="0"/>
    <n v="-1"/>
    <n v="0"/>
    <n v="0"/>
    <n v="0"/>
    <n v="0"/>
    <n v="0"/>
    <n v="-1"/>
    <m/>
    <n v="-1"/>
    <n v="0"/>
    <n v="0"/>
    <n v="0"/>
    <n v="0"/>
    <n v="0"/>
    <m/>
    <m/>
    <m/>
    <m/>
    <m/>
    <n v="0"/>
    <n v="512883"/>
    <n v="173656"/>
    <x v="14"/>
    <m/>
    <m/>
    <m/>
    <m/>
    <m/>
    <m/>
    <m/>
    <m/>
    <m/>
  </r>
  <r>
    <s v="19/3757/ES191"/>
    <x v="2"/>
    <x v="0"/>
    <d v="2020-01-31T00:00:00"/>
    <d v="2020-01-31T00:00:00"/>
    <m/>
    <d v="2020-01-31T00:00:00"/>
    <x v="0"/>
    <x v="0"/>
    <m/>
    <s v="Use of 2B Orleans Road as a separate and self-contained C3 dwellinghouse."/>
    <s v="2B Orleans Road_x000d_Twickenham_x000d_TW1 3BL"/>
    <s v="TW1 3BL"/>
    <m/>
    <m/>
    <m/>
    <m/>
    <m/>
    <m/>
    <m/>
    <m/>
    <n v="0"/>
    <m/>
    <n v="1"/>
    <m/>
    <m/>
    <m/>
    <m/>
    <m/>
    <m/>
    <m/>
    <n v="1"/>
    <n v="1"/>
    <n v="0"/>
    <n v="0"/>
    <n v="0"/>
    <n v="0"/>
    <n v="0"/>
    <n v="0"/>
    <n v="0"/>
    <n v="1"/>
    <m/>
    <n v="1"/>
    <n v="0"/>
    <n v="0"/>
    <n v="0"/>
    <n v="0"/>
    <n v="0"/>
    <m/>
    <m/>
    <m/>
    <m/>
    <m/>
    <n v="0"/>
    <n v="516930"/>
    <n v="173775"/>
    <x v="10"/>
    <m/>
    <m/>
    <m/>
    <m/>
    <m/>
    <m/>
    <m/>
    <s v="Conservation Area"/>
    <s v="CA8 Twickenham Riverside"/>
  </r>
  <r>
    <s v="19/3854/ES191"/>
    <x v="1"/>
    <x v="0"/>
    <d v="2020-02-25T00:00:00"/>
    <d v="2020-02-25T00:00:00"/>
    <m/>
    <d v="2020-02-25T00:00:00"/>
    <x v="0"/>
    <x v="0"/>
    <m/>
    <s v="Use of Flat 1 (basement) as  C3 residential."/>
    <s v="Flat 1_x000d_Heron Court_x000d_3 - 5 High Street_x000d_Hampton_x000d_TW12 2SQ_x000d_"/>
    <s v="TW12 2SQ"/>
    <m/>
    <m/>
    <m/>
    <m/>
    <m/>
    <m/>
    <m/>
    <m/>
    <n v="0"/>
    <m/>
    <m/>
    <n v="1"/>
    <m/>
    <m/>
    <m/>
    <m/>
    <m/>
    <m/>
    <n v="1"/>
    <n v="0"/>
    <n v="1"/>
    <n v="0"/>
    <n v="0"/>
    <n v="0"/>
    <n v="0"/>
    <n v="0"/>
    <n v="0"/>
    <n v="1"/>
    <m/>
    <n v="1"/>
    <n v="0"/>
    <n v="0"/>
    <n v="0"/>
    <n v="0"/>
    <n v="0"/>
    <m/>
    <m/>
    <m/>
    <m/>
    <m/>
    <n v="0"/>
    <n v="513949"/>
    <n v="169534"/>
    <x v="8"/>
    <m/>
    <m/>
    <m/>
    <s v="Mixed Use Area"/>
    <s v="Thames Street"/>
    <m/>
    <m/>
    <s v="Conservation Area"/>
    <s v="CA12 Hampton Village"/>
  </r>
  <r>
    <s v="99/2063"/>
    <x v="0"/>
    <x v="0"/>
    <d v="2000-02-03T00:00:00"/>
    <d v="2005-02-03T00:00:00"/>
    <d v="2005-01-14T00:00:00"/>
    <d v="2019-07-18T00:00:00"/>
    <x v="0"/>
    <x v="0"/>
    <m/>
    <s v="Proposed Dwelling House"/>
    <s v="6 Boileau Road Barnes"/>
    <m/>
    <m/>
    <m/>
    <m/>
    <m/>
    <m/>
    <m/>
    <m/>
    <m/>
    <n v="0"/>
    <m/>
    <n v="1"/>
    <m/>
    <m/>
    <m/>
    <m/>
    <m/>
    <m/>
    <n v="0"/>
    <n v="1"/>
    <n v="1"/>
    <n v="0"/>
    <n v="0"/>
    <n v="0"/>
    <n v="0"/>
    <n v="0"/>
    <n v="0"/>
    <n v="0"/>
    <n v="1"/>
    <m/>
    <n v="1"/>
    <n v="0"/>
    <n v="0"/>
    <n v="0"/>
    <n v="0"/>
    <n v="0"/>
    <m/>
    <m/>
    <m/>
    <m/>
    <m/>
    <n v="0"/>
    <n v="522457"/>
    <n v="177328"/>
    <x v="17"/>
    <m/>
    <m/>
    <m/>
    <m/>
    <m/>
    <m/>
    <m/>
    <m/>
    <m/>
  </r>
  <r>
    <s v="13/0998/FUL"/>
    <x v="0"/>
    <x v="0"/>
    <d v="2013-11-05T00:00:00"/>
    <d v="2016-11-05T00:00:00"/>
    <d v="2016-08-14T00:00:00"/>
    <m/>
    <x v="1"/>
    <x v="0"/>
    <m/>
    <s v="Redevelopment of land at the rear of 139-141 Stanley Road, Teddington to provide two semi-detached, three storey, three bedroom houses with parking spaces following demolition of existing warehouse."/>
    <s v="Land At 139 - 141 Stanley Road Teddington"/>
    <s v="TW11 8UF"/>
    <m/>
    <m/>
    <m/>
    <m/>
    <m/>
    <m/>
    <m/>
    <m/>
    <n v="0"/>
    <m/>
    <m/>
    <m/>
    <n v="2"/>
    <m/>
    <m/>
    <m/>
    <m/>
    <m/>
    <n v="2"/>
    <n v="0"/>
    <n v="0"/>
    <n v="2"/>
    <n v="0"/>
    <n v="0"/>
    <n v="0"/>
    <n v="0"/>
    <n v="0"/>
    <n v="2"/>
    <m/>
    <n v="0"/>
    <n v="2"/>
    <n v="0"/>
    <n v="0"/>
    <n v="0"/>
    <n v="0"/>
    <m/>
    <m/>
    <m/>
    <m/>
    <m/>
    <n v="2"/>
    <n v="515074"/>
    <n v="171654"/>
    <x v="11"/>
    <m/>
    <m/>
    <m/>
    <m/>
    <m/>
    <m/>
    <m/>
    <m/>
    <m/>
  </r>
  <r>
    <s v="19/0637/FUL"/>
    <x v="0"/>
    <x v="0"/>
    <d v="2020-02-06T00:00:00"/>
    <d v="2023-02-06T00:00:00"/>
    <d v="2020-09-21T00:00:00"/>
    <m/>
    <x v="1"/>
    <x v="0"/>
    <m/>
    <s v="Demolition of the existing buildings and the erection of a mixed use development comprising of two buildings (two and three storeys), occupied as 8 residential units and 248.6m of B1 office space."/>
    <s v="63 Sandycombe Road Richmond TW9 2EP"/>
    <s v="TW9 2EP"/>
    <m/>
    <m/>
    <m/>
    <m/>
    <m/>
    <m/>
    <m/>
    <m/>
    <n v="0"/>
    <m/>
    <n v="6"/>
    <n v="2"/>
    <m/>
    <m/>
    <m/>
    <m/>
    <m/>
    <m/>
    <n v="8"/>
    <n v="6"/>
    <n v="2"/>
    <n v="0"/>
    <n v="0"/>
    <n v="0"/>
    <n v="0"/>
    <n v="0"/>
    <n v="0"/>
    <n v="8"/>
    <m/>
    <n v="0"/>
    <n v="4"/>
    <n v="4"/>
    <n v="0"/>
    <n v="0"/>
    <n v="0"/>
    <m/>
    <m/>
    <m/>
    <m/>
    <m/>
    <n v="8"/>
    <n v="519026"/>
    <n v="175926"/>
    <x v="9"/>
    <m/>
    <m/>
    <m/>
    <m/>
    <m/>
    <m/>
    <m/>
    <m/>
    <m/>
  </r>
  <r>
    <s v="19/2246/FUL"/>
    <x v="2"/>
    <x v="0"/>
    <d v="2019-10-22T00:00:00"/>
    <d v="2022-10-22T00:00:00"/>
    <m/>
    <d v="2020-06-15T00:00:00"/>
    <x v="1"/>
    <x v="0"/>
    <m/>
    <s v="Application for the conversion of apartments 18 and 19 to form 1no. four bedroom apartment at sixth floor level in block B2."/>
    <s v="Teddington Riverside Development Site_x000d_Broom Road_x000d_Teddington_x000d__x000d_"/>
    <s v="TW11 9BE"/>
    <m/>
    <m/>
    <n v="2"/>
    <m/>
    <m/>
    <m/>
    <m/>
    <m/>
    <n v="2"/>
    <m/>
    <m/>
    <m/>
    <m/>
    <n v="1"/>
    <m/>
    <m/>
    <m/>
    <m/>
    <n v="1"/>
    <n v="0"/>
    <n v="0"/>
    <n v="-2"/>
    <n v="1"/>
    <n v="0"/>
    <n v="0"/>
    <n v="0"/>
    <n v="0"/>
    <n v="-1"/>
    <m/>
    <n v="0"/>
    <n v="-1"/>
    <n v="0"/>
    <n v="0"/>
    <n v="0"/>
    <n v="0"/>
    <m/>
    <m/>
    <m/>
    <m/>
    <m/>
    <n v="-1"/>
    <n v="516802"/>
    <n v="171333"/>
    <x v="0"/>
    <m/>
    <m/>
    <s v="Thames Policy Area"/>
    <m/>
    <m/>
    <m/>
    <m/>
    <m/>
    <m/>
  </r>
  <r>
    <s v="07/3348/FUL"/>
    <x v="0"/>
    <x v="0"/>
    <d v="2008-04-01T00:00:00"/>
    <d v="2011-04-01T00:00:00"/>
    <d v="2012-08-17T00:00:00"/>
    <m/>
    <x v="1"/>
    <x v="0"/>
    <m/>
    <s v="Demolition of existing house and outbuildings, construction of 3 houses."/>
    <s v="289 Petersham Road_x000d_Richmond_x000d_Surrey_x000d_TW10 7DA_x000d_"/>
    <m/>
    <m/>
    <m/>
    <m/>
    <n v="1"/>
    <m/>
    <m/>
    <m/>
    <m/>
    <n v="1"/>
    <m/>
    <n v="1"/>
    <m/>
    <m/>
    <n v="2"/>
    <m/>
    <m/>
    <m/>
    <m/>
    <n v="3"/>
    <n v="1"/>
    <n v="0"/>
    <n v="0"/>
    <n v="1"/>
    <n v="0"/>
    <n v="0"/>
    <n v="0"/>
    <n v="0"/>
    <n v="2"/>
    <m/>
    <n v="0"/>
    <n v="2"/>
    <n v="0"/>
    <n v="0"/>
    <n v="0"/>
    <n v="0"/>
    <m/>
    <m/>
    <m/>
    <m/>
    <m/>
    <n v="2"/>
    <n v="517856"/>
    <n v="172364"/>
    <x v="15"/>
    <m/>
    <m/>
    <m/>
    <m/>
    <m/>
    <m/>
    <m/>
    <m/>
    <m/>
  </r>
  <r>
    <s v="11/1443/FUL"/>
    <x v="0"/>
    <x v="0"/>
    <d v="2012-03-30T00:00:00"/>
    <d v="2015-03-30T00:00:00"/>
    <d v="2015-03-14T00:00:00"/>
    <m/>
    <x v="1"/>
    <x v="0"/>
    <m/>
    <s v="Demolition of existing station building and access gantries to the platforms and a phased redevelopment to provide;_x000d_1. Removal of existing footbridge structures, adjustment of existing platform canopies and rebuilding of a section of the London Road wall."/>
    <s v="Twickenham Railway Station_x000d_London Road_x000d_Twickenham_x000d_TW1 1BD_x000d_"/>
    <m/>
    <m/>
    <m/>
    <m/>
    <m/>
    <m/>
    <m/>
    <m/>
    <m/>
    <n v="0"/>
    <m/>
    <n v="24"/>
    <n v="76"/>
    <n v="7"/>
    <m/>
    <m/>
    <m/>
    <m/>
    <m/>
    <n v="107"/>
    <n v="24"/>
    <n v="76"/>
    <n v="7"/>
    <n v="0"/>
    <n v="0"/>
    <n v="0"/>
    <n v="0"/>
    <n v="0"/>
    <n v="107"/>
    <m/>
    <n v="0"/>
    <n v="35.666666666666664"/>
    <n v="35.666666666666664"/>
    <n v="35.666666666666664"/>
    <n v="0"/>
    <n v="0"/>
    <m/>
    <m/>
    <m/>
    <m/>
    <m/>
    <n v="107"/>
    <n v="516095"/>
    <n v="173690"/>
    <x v="1"/>
    <m/>
    <s v="Twickenham"/>
    <m/>
    <m/>
    <m/>
    <m/>
    <m/>
    <m/>
    <m/>
  </r>
  <r>
    <s v="13/1327/FUL"/>
    <x v="1"/>
    <x v="0"/>
    <d v="2013-09-03T00:00:00"/>
    <d v="2016-09-03T00:00:00"/>
    <d v="2016-08-19T00:00:00"/>
    <m/>
    <x v="1"/>
    <x v="0"/>
    <m/>
    <s v="Reversion of Doughty House and Doughty Cottage, change of use from D1 gallery to a single family dwelling. New conservatory with basement below; underground car parking beneath the upper garden and linked to Doughty House; part re-construction of rear ele"/>
    <s v="Doughty House And Doughty Cottage_x000d_142 - 142A Richmond Hill_x000d_Richmond_x000d__x000d_"/>
    <m/>
    <m/>
    <m/>
    <m/>
    <n v="2"/>
    <m/>
    <m/>
    <m/>
    <m/>
    <n v="2"/>
    <m/>
    <m/>
    <m/>
    <m/>
    <n v="1"/>
    <m/>
    <m/>
    <m/>
    <m/>
    <n v="1"/>
    <n v="0"/>
    <n v="0"/>
    <n v="0"/>
    <n v="-1"/>
    <n v="0"/>
    <n v="0"/>
    <n v="0"/>
    <n v="0"/>
    <n v="-1"/>
    <m/>
    <n v="0"/>
    <n v="0"/>
    <n v="-1"/>
    <n v="0"/>
    <n v="0"/>
    <n v="0"/>
    <m/>
    <m/>
    <m/>
    <m/>
    <m/>
    <n v="-1"/>
    <n v="518397"/>
    <n v="173968"/>
    <x v="15"/>
    <m/>
    <m/>
    <s v="Thames Policy Area"/>
    <m/>
    <m/>
    <m/>
    <m/>
    <s v="Conservation Area"/>
    <s v="CA5 Richmond Hill"/>
  </r>
  <r>
    <s v="14/2118/FUL"/>
    <x v="2"/>
    <x v="0"/>
    <d v="2014-07-18T00:00:00"/>
    <d v="2018-01-19T00:00:00"/>
    <d v="2017-10-01T00:00:00"/>
    <m/>
    <x v="1"/>
    <x v="0"/>
    <m/>
    <s v="Conversion of existing block of 3 flats, back into onedwellinghouse. Demolition of existing part 2 storey, part single storey rear addition and erection of part 2 storey and part single storey rear extension. Erection of basement extension, part under exi"/>
    <s v="14 Sheen Gate Gardens_x000d_East Sheen_x000d_London_x000d__x000d_"/>
    <m/>
    <n v="1"/>
    <n v="1"/>
    <n v="1"/>
    <m/>
    <m/>
    <m/>
    <m/>
    <m/>
    <n v="3"/>
    <m/>
    <m/>
    <m/>
    <m/>
    <n v="1"/>
    <m/>
    <m/>
    <m/>
    <m/>
    <n v="1"/>
    <n v="-1"/>
    <n v="-1"/>
    <n v="-1"/>
    <n v="1"/>
    <n v="0"/>
    <n v="0"/>
    <n v="0"/>
    <n v="0"/>
    <n v="-2"/>
    <m/>
    <n v="0"/>
    <n v="-2"/>
    <n v="0"/>
    <n v="0"/>
    <n v="0"/>
    <n v="0"/>
    <m/>
    <m/>
    <m/>
    <m/>
    <m/>
    <n v="-2"/>
    <n v="520243"/>
    <n v="175216"/>
    <x v="7"/>
    <m/>
    <m/>
    <m/>
    <m/>
    <m/>
    <m/>
    <m/>
    <s v="Conservation Area"/>
    <s v="CA64 Sheen Lane East Sheen"/>
  </r>
  <r>
    <s v="14/2257/FUL"/>
    <x v="3"/>
    <x v="0"/>
    <d v="2015-03-26T00:00:00"/>
    <d v="2018-03-27T00:00:00"/>
    <d v="2016-06-01T00:00:00"/>
    <m/>
    <x v="1"/>
    <x v="0"/>
    <m/>
    <s v="Partial rebuild and refurbishment of existing building and erection of two-storey side / rear extension with 3No. rear dormers to facilitate the formation of a mixed use building comprising a ground floor retail shop unit (A1 Use Class) and 4 No. 1-bedroo"/>
    <s v="310 Nelson Road_x000d_Twickenham_x000d_TW2 7AJ_x000d_"/>
    <m/>
    <m/>
    <n v="1"/>
    <m/>
    <m/>
    <m/>
    <m/>
    <m/>
    <m/>
    <n v="1"/>
    <m/>
    <n v="4"/>
    <m/>
    <m/>
    <m/>
    <m/>
    <m/>
    <m/>
    <m/>
    <n v="4"/>
    <n v="4"/>
    <n v="-1"/>
    <n v="0"/>
    <n v="0"/>
    <n v="0"/>
    <n v="0"/>
    <n v="0"/>
    <n v="0"/>
    <n v="3"/>
    <m/>
    <n v="0"/>
    <n v="3"/>
    <n v="0"/>
    <n v="0"/>
    <n v="0"/>
    <n v="0"/>
    <m/>
    <m/>
    <m/>
    <m/>
    <m/>
    <n v="3"/>
    <n v="513482"/>
    <n v="173963"/>
    <x v="14"/>
    <m/>
    <m/>
    <m/>
    <m/>
    <m/>
    <m/>
    <m/>
    <m/>
    <m/>
  </r>
  <r>
    <s v="14/2797/P3JPA"/>
    <x v="1"/>
    <x v="1"/>
    <d v="2015-08-20T00:00:00"/>
    <d v="2017-11-27T00:00:00"/>
    <d v="2017-06-30T00:00:00"/>
    <m/>
    <x v="1"/>
    <x v="0"/>
    <m/>
    <s v="Proposed change of use of part of an existing two storey office block (B1a Use Class) to Residential (C3 Use Class) creating 6 No.flats (comprising 1 x 1-bed unit and 5 x 2-bed units)."/>
    <s v="Crane Mews_x000d_32 Gould Road_x000d_Twickenham_x000d__x000d_"/>
    <s v="TW2 6RS"/>
    <m/>
    <m/>
    <m/>
    <m/>
    <m/>
    <m/>
    <m/>
    <m/>
    <n v="0"/>
    <m/>
    <n v="1"/>
    <n v="5"/>
    <m/>
    <m/>
    <m/>
    <m/>
    <m/>
    <m/>
    <n v="6"/>
    <n v="1"/>
    <n v="5"/>
    <n v="0"/>
    <n v="0"/>
    <n v="0"/>
    <n v="0"/>
    <n v="0"/>
    <n v="0"/>
    <n v="6"/>
    <m/>
    <n v="0"/>
    <n v="6"/>
    <n v="0"/>
    <n v="0"/>
    <n v="0"/>
    <n v="0"/>
    <m/>
    <m/>
    <m/>
    <m/>
    <m/>
    <n v="6"/>
    <n v="515206"/>
    <n v="173341"/>
    <x v="5"/>
    <m/>
    <m/>
    <m/>
    <m/>
    <m/>
    <m/>
    <m/>
    <m/>
    <m/>
  </r>
  <r>
    <s v="14/3011/FUL"/>
    <x v="1"/>
    <x v="0"/>
    <d v="2015-04-17T00:00:00"/>
    <d v="2018-04-20T00:00:00"/>
    <d v="2018-04-04T00:00:00"/>
    <m/>
    <x v="1"/>
    <x v="0"/>
    <m/>
    <s v="Refurbishment and remodelling of the existing dry cleaners (Use Class A1: Shops)  and workshop (Use Class B1c: light industrial) including infill extensions and alterations, conversion of seven x one self-contained flats to six residential flats (comprisi"/>
    <s v="2 Broad Street_x000d_Teddington_x000d_TW11 8RF_x000d_"/>
    <m/>
    <n v="1"/>
    <m/>
    <m/>
    <m/>
    <m/>
    <m/>
    <m/>
    <m/>
    <n v="1"/>
    <m/>
    <n v="2"/>
    <n v="4"/>
    <m/>
    <m/>
    <m/>
    <m/>
    <m/>
    <m/>
    <n v="6"/>
    <n v="1"/>
    <n v="4"/>
    <n v="0"/>
    <n v="0"/>
    <n v="0"/>
    <n v="0"/>
    <n v="0"/>
    <n v="0"/>
    <n v="5"/>
    <m/>
    <n v="0"/>
    <n v="5"/>
    <n v="0"/>
    <n v="0"/>
    <n v="0"/>
    <n v="0"/>
    <m/>
    <m/>
    <m/>
    <m/>
    <m/>
    <n v="5"/>
    <n v="515537"/>
    <n v="170973"/>
    <x v="0"/>
    <m/>
    <s v="Teddington"/>
    <m/>
    <m/>
    <m/>
    <m/>
    <m/>
    <m/>
    <m/>
  </r>
  <r>
    <s v="14/3780/FUL"/>
    <x v="3"/>
    <x v="0"/>
    <d v="2015-04-30T00:00:00"/>
    <d v="2018-04-30T00:00:00"/>
    <d v="2016-07-01T00:00:00"/>
    <m/>
    <x v="1"/>
    <x v="0"/>
    <m/>
    <s v="The conversion and restoration of the Old School building to form 5 no. residential apartments, and 90 square metres of B1a Office space, and the erection of 3no. terraced townhouses with basement accommodation at the rear, with car parking, landscaping,"/>
    <s v="Richmond Film Services_x000d_Park Lane_x000d_Richmond_x000d_TW9 2RA_x000d_"/>
    <m/>
    <m/>
    <m/>
    <m/>
    <m/>
    <m/>
    <m/>
    <m/>
    <m/>
    <n v="0"/>
    <m/>
    <m/>
    <n v="5"/>
    <n v="3"/>
    <m/>
    <m/>
    <m/>
    <m/>
    <m/>
    <n v="8"/>
    <n v="0"/>
    <n v="5"/>
    <n v="3"/>
    <n v="0"/>
    <n v="0"/>
    <n v="0"/>
    <n v="0"/>
    <n v="0"/>
    <n v="8"/>
    <m/>
    <n v="8"/>
    <n v="8"/>
    <n v="0"/>
    <n v="0"/>
    <n v="0"/>
    <n v="0"/>
    <m/>
    <m/>
    <m/>
    <m/>
    <m/>
    <n v="8"/>
    <n v="517917"/>
    <n v="175196"/>
    <x v="4"/>
    <m/>
    <s v="Richmond"/>
    <m/>
    <m/>
    <m/>
    <m/>
    <m/>
    <s v="Conservation Area"/>
    <s v="CA17 Central Richmond"/>
  </r>
  <r>
    <s v="14/4839/FUL"/>
    <x v="0"/>
    <x v="0"/>
    <d v="2016-07-14T00:00:00"/>
    <d v="2019-07-14T00:00:00"/>
    <d v="2019-06-01T00:00:00"/>
    <m/>
    <x v="1"/>
    <x v="0"/>
    <m/>
    <s v="Demolition of existing house and construction of a new 3 bedroom house."/>
    <s v="The Cottage_x000d_Eel Pie Island_x000d_Twickenham_x000d_TW1 3DY_x000d_"/>
    <m/>
    <m/>
    <n v="1"/>
    <m/>
    <m/>
    <m/>
    <m/>
    <m/>
    <m/>
    <n v="1"/>
    <m/>
    <m/>
    <m/>
    <n v="1"/>
    <m/>
    <m/>
    <m/>
    <m/>
    <m/>
    <n v="1"/>
    <n v="0"/>
    <n v="-1"/>
    <n v="1"/>
    <n v="0"/>
    <n v="0"/>
    <n v="0"/>
    <n v="0"/>
    <n v="0"/>
    <n v="0"/>
    <m/>
    <n v="0"/>
    <n v="0"/>
    <n v="0"/>
    <n v="0"/>
    <n v="0"/>
    <n v="0"/>
    <m/>
    <m/>
    <m/>
    <m/>
    <m/>
    <n v="0"/>
    <n v="516355"/>
    <n v="173076"/>
    <x v="10"/>
    <m/>
    <m/>
    <s v="Thames Policy Area"/>
    <m/>
    <m/>
    <m/>
    <m/>
    <s v="Conservation Area"/>
    <s v="CA8 Twickenham Riverside"/>
  </r>
  <r>
    <s v="14/5284/FUL"/>
    <x v="2"/>
    <x v="0"/>
    <d v="2015-02-16T00:00:00"/>
    <d v="2018-02-16T00:00:00"/>
    <d v="2018-03-23T00:00:00"/>
    <m/>
    <x v="1"/>
    <x v="0"/>
    <m/>
    <s v="The reversion of a Building of Townscape Merit from two self-contained flats (1x1 and 1x3 beds) to a single-family dwelling (Use Class C3: Dwelling Houses) including a rear side infill extension with associated works."/>
    <s v="46 Halford Road_x000d_Richmond_x000d__x000d_"/>
    <s v="TW10 6AP"/>
    <n v="1"/>
    <m/>
    <n v="1"/>
    <m/>
    <m/>
    <m/>
    <m/>
    <m/>
    <n v="2"/>
    <m/>
    <m/>
    <m/>
    <m/>
    <n v="1"/>
    <m/>
    <m/>
    <m/>
    <m/>
    <n v="1"/>
    <n v="-1"/>
    <n v="0"/>
    <n v="-1"/>
    <n v="1"/>
    <n v="0"/>
    <n v="0"/>
    <n v="0"/>
    <n v="0"/>
    <n v="-1"/>
    <m/>
    <n v="0"/>
    <n v="-1"/>
    <n v="0"/>
    <n v="0"/>
    <n v="0"/>
    <n v="0"/>
    <m/>
    <m/>
    <m/>
    <m/>
    <m/>
    <n v="-1"/>
    <n v="518090"/>
    <n v="174701"/>
    <x v="4"/>
    <m/>
    <m/>
    <m/>
    <m/>
    <m/>
    <m/>
    <m/>
    <s v="Conservation Area"/>
    <s v="CA5 Richmond Hill"/>
  </r>
  <r>
    <s v="14/5306/FUL"/>
    <x v="1"/>
    <x v="0"/>
    <d v="2015-06-22T00:00:00"/>
    <d v="2018-06-22T00:00:00"/>
    <d v="2017-05-01T00:00:00"/>
    <m/>
    <x v="1"/>
    <x v="0"/>
    <m/>
    <s v="Change of use from B1 to residential (Number 21) and demolition of existing 2-storey dwelling (21A) with erection of back extension with basement"/>
    <s v="21 - 21A St Johns Road_x000d_Richmond_x000d__x000d_"/>
    <m/>
    <m/>
    <n v="1"/>
    <m/>
    <m/>
    <m/>
    <m/>
    <m/>
    <m/>
    <n v="1"/>
    <m/>
    <m/>
    <m/>
    <m/>
    <n v="1"/>
    <m/>
    <m/>
    <m/>
    <m/>
    <n v="1"/>
    <n v="0"/>
    <n v="-1"/>
    <n v="0"/>
    <n v="1"/>
    <n v="0"/>
    <n v="0"/>
    <n v="0"/>
    <n v="0"/>
    <n v="0"/>
    <m/>
    <n v="0"/>
    <n v="0"/>
    <n v="0"/>
    <n v="0"/>
    <n v="0"/>
    <n v="0"/>
    <m/>
    <m/>
    <m/>
    <m/>
    <m/>
    <n v="0"/>
    <n v="518248"/>
    <n v="175334"/>
    <x v="12"/>
    <m/>
    <s v="Richmond"/>
    <m/>
    <m/>
    <m/>
    <m/>
    <m/>
    <s v="Conservation Area"/>
    <s v="CA17 Central Richmond"/>
  </r>
  <r>
    <s v="15/1486/FUL"/>
    <x v="0"/>
    <x v="0"/>
    <d v="2015-07-16T00:00:00"/>
    <d v="2018-07-16T00:00:00"/>
    <d v="2018-06-04T00:00:00"/>
    <m/>
    <x v="1"/>
    <x v="0"/>
    <m/>
    <s v="Demolition of existing dwelling and erection of 2 No.4 bed semi-detached dwellings with associated parking and landscaping."/>
    <s v="8 Heathside_x000d_Whitton_x000d_Hounslow_x000d_TW4 5NN_x000d_"/>
    <m/>
    <m/>
    <n v="1"/>
    <m/>
    <m/>
    <m/>
    <m/>
    <m/>
    <m/>
    <n v="1"/>
    <m/>
    <m/>
    <m/>
    <m/>
    <n v="2"/>
    <m/>
    <m/>
    <m/>
    <m/>
    <n v="2"/>
    <n v="0"/>
    <n v="-1"/>
    <n v="0"/>
    <n v="2"/>
    <n v="0"/>
    <n v="0"/>
    <n v="0"/>
    <n v="0"/>
    <n v="1"/>
    <m/>
    <n v="0"/>
    <n v="1"/>
    <n v="0"/>
    <n v="0"/>
    <n v="0"/>
    <n v="0"/>
    <m/>
    <m/>
    <m/>
    <m/>
    <m/>
    <n v="1"/>
    <n v="512819"/>
    <n v="173657"/>
    <x v="14"/>
    <m/>
    <m/>
    <m/>
    <m/>
    <m/>
    <m/>
    <m/>
    <m/>
    <m/>
  </r>
  <r>
    <s v="15/2854/FUL"/>
    <x v="0"/>
    <x v="0"/>
    <d v="2016-06-02T00:00:00"/>
    <d v="2019-06-02T00:00:00"/>
    <d v="2019-05-01T00:00:00"/>
    <m/>
    <x v="1"/>
    <x v="1"/>
    <m/>
    <s v="Demolition of a row of 18 garages; Proposed to construct two two-bedroom Wheelchair Bungalows; Provision of two car parking spaces."/>
    <s v="Garages At_x000d_Riverside Drive_x000d_Ham_x000d__x000d_"/>
    <m/>
    <m/>
    <m/>
    <m/>
    <m/>
    <m/>
    <m/>
    <m/>
    <m/>
    <n v="0"/>
    <s v="Y"/>
    <m/>
    <n v="2"/>
    <m/>
    <m/>
    <m/>
    <m/>
    <m/>
    <n v="2"/>
    <n v="2"/>
    <n v="0"/>
    <n v="2"/>
    <n v="0"/>
    <n v="0"/>
    <n v="0"/>
    <n v="0"/>
    <n v="0"/>
    <n v="0"/>
    <n v="2"/>
    <m/>
    <n v="0"/>
    <n v="2"/>
    <n v="0"/>
    <n v="0"/>
    <n v="0"/>
    <n v="0"/>
    <m/>
    <m/>
    <m/>
    <m/>
    <m/>
    <n v="2"/>
    <n v="517050"/>
    <n v="172680"/>
    <x v="15"/>
    <m/>
    <m/>
    <m/>
    <m/>
    <m/>
    <m/>
    <m/>
    <m/>
    <m/>
  </r>
  <r>
    <s v="15/2855/FUL"/>
    <x v="0"/>
    <x v="0"/>
    <d v="2016-06-02T00:00:00"/>
    <d v="2019-06-02T00:00:00"/>
    <d v="2019-05-28T00:00:00"/>
    <m/>
    <x v="1"/>
    <x v="1"/>
    <m/>
    <s v="Demolition of 20 garages in two rows; Construction of two three-bedroom houses"/>
    <s v="Garages At_x000d_Maguire Drive_x000d_Ham_x000d__x000d_"/>
    <m/>
    <m/>
    <m/>
    <m/>
    <m/>
    <m/>
    <m/>
    <m/>
    <m/>
    <n v="0"/>
    <s v="Y"/>
    <m/>
    <m/>
    <n v="2"/>
    <m/>
    <m/>
    <m/>
    <m/>
    <n v="2"/>
    <n v="2"/>
    <n v="0"/>
    <n v="0"/>
    <n v="2"/>
    <n v="0"/>
    <n v="0"/>
    <n v="0"/>
    <n v="0"/>
    <n v="0"/>
    <n v="2"/>
    <m/>
    <n v="0"/>
    <n v="2"/>
    <n v="0"/>
    <n v="0"/>
    <n v="0"/>
    <n v="0"/>
    <m/>
    <m/>
    <m/>
    <m/>
    <m/>
    <n v="2"/>
    <n v="517476"/>
    <n v="171658"/>
    <x v="15"/>
    <m/>
    <m/>
    <m/>
    <m/>
    <m/>
    <m/>
    <m/>
    <m/>
    <m/>
  </r>
  <r>
    <s v="15/2857/FUL"/>
    <x v="0"/>
    <x v="0"/>
    <d v="2016-11-17T00:00:00"/>
    <d v="2019-11-17T00:00:00"/>
    <d v="2019-10-16T00:00:00"/>
    <m/>
    <x v="1"/>
    <x v="1"/>
    <m/>
    <s v="Removal of 26 garages; Creation of 3 two storey three-bedroom houses. Provision of 11 parking spaces in a shared surface courtyard"/>
    <s v="Garages At_x000d_Clifford Road_x000d_Petersham_x000d__x000d_"/>
    <m/>
    <m/>
    <m/>
    <m/>
    <m/>
    <m/>
    <m/>
    <m/>
    <m/>
    <n v="0"/>
    <s v="Y"/>
    <m/>
    <m/>
    <n v="3"/>
    <m/>
    <m/>
    <m/>
    <m/>
    <n v="3"/>
    <n v="3"/>
    <n v="0"/>
    <n v="0"/>
    <n v="3"/>
    <n v="0"/>
    <n v="0"/>
    <n v="0"/>
    <n v="0"/>
    <n v="0"/>
    <n v="3"/>
    <m/>
    <n v="0"/>
    <n v="3"/>
    <n v="0"/>
    <n v="0"/>
    <n v="0"/>
    <n v="0"/>
    <m/>
    <m/>
    <m/>
    <m/>
    <m/>
    <n v="3"/>
    <n v="517848"/>
    <n v="172830"/>
    <x v="15"/>
    <m/>
    <m/>
    <m/>
    <m/>
    <m/>
    <m/>
    <m/>
    <m/>
    <m/>
  </r>
  <r>
    <s v="15/3072/FUL"/>
    <x v="1"/>
    <x v="0"/>
    <d v="2016-10-07T00:00:00"/>
    <d v="2019-10-07T00:00:00"/>
    <d v="2018-03-01T00:00:00"/>
    <m/>
    <x v="1"/>
    <x v="0"/>
    <m/>
    <s v="Conversion, extension and alteration of the existing church building to provide for 6 x 2 bedroom flats over four levels together with 6 off-street car parking spaces, motorcycle parking, garden amenity areas and refuse, recycling and cycle parking areas."/>
    <s v="Christ Church_x000d_Station Road_x000d_Teddington_x000d__x000d_"/>
    <s v="TW11"/>
    <m/>
    <m/>
    <m/>
    <m/>
    <m/>
    <m/>
    <m/>
    <m/>
    <n v="0"/>
    <m/>
    <m/>
    <n v="6"/>
    <m/>
    <m/>
    <m/>
    <m/>
    <m/>
    <m/>
    <n v="6"/>
    <n v="0"/>
    <n v="6"/>
    <n v="0"/>
    <n v="0"/>
    <n v="0"/>
    <n v="0"/>
    <n v="0"/>
    <n v="0"/>
    <n v="6"/>
    <m/>
    <n v="0"/>
    <n v="6"/>
    <n v="0"/>
    <n v="0"/>
    <n v="0"/>
    <n v="0"/>
    <m/>
    <m/>
    <m/>
    <m/>
    <m/>
    <n v="6"/>
    <n v="516013"/>
    <n v="171023"/>
    <x v="0"/>
    <m/>
    <m/>
    <m/>
    <m/>
    <m/>
    <m/>
    <m/>
    <s v="Conservation Area"/>
    <s v="CA37 High Street Teddington"/>
  </r>
  <r>
    <s v="15/3518/FUL"/>
    <x v="0"/>
    <x v="0"/>
    <d v="2019-03-08T00:00:00"/>
    <d v="2022-03-08T00:00:00"/>
    <d v="2019-10-01T00:00:00"/>
    <m/>
    <x v="1"/>
    <x v="0"/>
    <m/>
    <s v="Erection of a pair of semi-detached dwellings with associated access, parking and private amenity space following the demolition of the existing building comprising 2No. maisonettes and associated outbuildings."/>
    <s v="58 Denton Road_x000d_Twickenham_x000d_TW1 2HQ_x000d_"/>
    <s v="TW1 2HQ"/>
    <m/>
    <n v="2"/>
    <m/>
    <m/>
    <m/>
    <m/>
    <m/>
    <m/>
    <n v="2"/>
    <m/>
    <m/>
    <m/>
    <m/>
    <n v="2"/>
    <m/>
    <m/>
    <m/>
    <m/>
    <n v="2"/>
    <n v="0"/>
    <n v="-2"/>
    <n v="0"/>
    <n v="2"/>
    <n v="0"/>
    <n v="0"/>
    <n v="0"/>
    <n v="0"/>
    <n v="0"/>
    <m/>
    <n v="0"/>
    <n v="0"/>
    <n v="0"/>
    <n v="0"/>
    <n v="0"/>
    <n v="0"/>
    <m/>
    <m/>
    <m/>
    <m/>
    <m/>
    <n v="0"/>
    <n v="517831"/>
    <n v="174076"/>
    <x v="10"/>
    <m/>
    <m/>
    <m/>
    <m/>
    <m/>
    <m/>
    <m/>
    <m/>
    <m/>
  </r>
  <r>
    <s v="15/5217/NMA1"/>
    <x v="0"/>
    <x v="0"/>
    <d v="2019-10-11T00:00:00"/>
    <d v="2022-10-11T00:00:00"/>
    <d v="2019-10-16T00:00:00"/>
    <m/>
    <x v="1"/>
    <x v="0"/>
    <m/>
    <s v="Non-material amendment to condition U10926 (NS11 - Building Regulations) of planning permission 15/5217/FUL to allow for change in wording of condition to state:  'Prior to the commencement of works above slab level, a scheme shall be submitted to and app"/>
    <s v="Silver Birches_x000d_2 - 6 Marchmont Road_x000d_Richmond_x000d_TW10 6HH_x000d_"/>
    <m/>
    <n v="1"/>
    <m/>
    <m/>
    <m/>
    <m/>
    <m/>
    <m/>
    <m/>
    <n v="1"/>
    <m/>
    <m/>
    <n v="2"/>
    <n v="5"/>
    <m/>
    <m/>
    <n v="2"/>
    <m/>
    <m/>
    <n v="9"/>
    <n v="-1"/>
    <n v="2"/>
    <n v="5"/>
    <n v="0"/>
    <n v="0"/>
    <n v="2"/>
    <n v="0"/>
    <n v="0"/>
    <n v="8"/>
    <m/>
    <n v="0"/>
    <n v="8"/>
    <n v="0"/>
    <n v="0"/>
    <n v="0"/>
    <n v="0"/>
    <m/>
    <m/>
    <m/>
    <m/>
    <m/>
    <n v="8"/>
    <n v="518559"/>
    <n v="174698"/>
    <x v="4"/>
    <m/>
    <m/>
    <m/>
    <m/>
    <m/>
    <m/>
    <m/>
    <s v="Conservation Area"/>
    <s v="CA30 St Matthias Richmond"/>
  </r>
  <r>
    <s v="15/5351/FUL"/>
    <x v="0"/>
    <x v="0"/>
    <d v="2017-04-06T00:00:00"/>
    <d v="2020-04-07T00:00:00"/>
    <d v="2020-02-23T00:00:00"/>
    <m/>
    <x v="1"/>
    <x v="0"/>
    <m/>
    <s v="Erection of a pair of two-bedroom, semi-detached dwellings with associated access, car turntable, parking and amenity space following the demolition of existing dwelling."/>
    <s v="11 Fifth Cross Road_x000d_Twickenham_x000d__x000d_"/>
    <m/>
    <m/>
    <m/>
    <n v="1"/>
    <m/>
    <m/>
    <m/>
    <m/>
    <m/>
    <n v="1"/>
    <m/>
    <m/>
    <n v="2"/>
    <m/>
    <m/>
    <m/>
    <m/>
    <m/>
    <m/>
    <n v="2"/>
    <n v="0"/>
    <n v="2"/>
    <n v="-1"/>
    <n v="0"/>
    <n v="0"/>
    <n v="0"/>
    <n v="0"/>
    <n v="0"/>
    <n v="1"/>
    <m/>
    <n v="0"/>
    <n v="1"/>
    <n v="0"/>
    <n v="0"/>
    <n v="0"/>
    <n v="0"/>
    <m/>
    <m/>
    <m/>
    <m/>
    <m/>
    <n v="1"/>
    <n v="514775"/>
    <n v="172397"/>
    <x v="2"/>
    <m/>
    <m/>
    <m/>
    <m/>
    <m/>
    <m/>
    <m/>
    <m/>
    <m/>
  </r>
  <r>
    <s v="16/0058/FUL"/>
    <x v="1"/>
    <x v="0"/>
    <d v="2016-07-14T00:00:00"/>
    <d v="2019-07-14T00:00:00"/>
    <d v="2019-07-10T00:00:00"/>
    <m/>
    <x v="1"/>
    <x v="0"/>
    <m/>
    <s v="Change of use of 2nd floor and 3rd floor level from ancillary retail to nine 1 bedroom flats (C3 use) with external alterations and enclosure of walkway at 1st floor, new residential access, bin store, bicycle storage, replacement of plant, new stairs to"/>
    <s v="29 George Street_x000d_Richmond_x000d_TW9 1HY_x000d_"/>
    <m/>
    <m/>
    <m/>
    <m/>
    <m/>
    <m/>
    <m/>
    <m/>
    <m/>
    <n v="0"/>
    <m/>
    <n v="9"/>
    <m/>
    <m/>
    <m/>
    <m/>
    <m/>
    <m/>
    <m/>
    <n v="9"/>
    <n v="9"/>
    <n v="0"/>
    <n v="0"/>
    <n v="0"/>
    <n v="0"/>
    <n v="0"/>
    <n v="0"/>
    <n v="0"/>
    <n v="9"/>
    <m/>
    <n v="0"/>
    <n v="9"/>
    <n v="0"/>
    <n v="0"/>
    <n v="0"/>
    <n v="0"/>
    <m/>
    <m/>
    <m/>
    <m/>
    <m/>
    <n v="9"/>
    <n v="517924"/>
    <n v="174891"/>
    <x v="4"/>
    <m/>
    <s v="Richmond"/>
    <m/>
    <m/>
    <m/>
    <m/>
    <m/>
    <s v="Conservation Area"/>
    <s v="CA17 Central Richmond"/>
  </r>
  <r>
    <s v="16/0432/FUL"/>
    <x v="0"/>
    <x v="0"/>
    <d v="2016-08-31T00:00:00"/>
    <d v="2019-08-31T00:00:00"/>
    <d v="2017-05-09T00:00:00"/>
    <m/>
    <x v="1"/>
    <x v="0"/>
    <m/>
    <s v="Demolition of existing building and erection of three storey building plus basement to provide B1 use at basement, ground floor and first floor, and one 2 bedroom apartment above at second floor level."/>
    <s v="48 Glentham Road_x000d_Barnes_x000d_London_x000d_SW13 9JJ"/>
    <m/>
    <m/>
    <m/>
    <m/>
    <m/>
    <m/>
    <m/>
    <m/>
    <m/>
    <n v="0"/>
    <m/>
    <m/>
    <n v="1"/>
    <m/>
    <m/>
    <m/>
    <m/>
    <m/>
    <m/>
    <n v="1"/>
    <n v="0"/>
    <n v="1"/>
    <n v="0"/>
    <n v="0"/>
    <n v="0"/>
    <n v="0"/>
    <n v="0"/>
    <n v="0"/>
    <n v="1"/>
    <m/>
    <n v="0"/>
    <n v="1"/>
    <n v="0"/>
    <n v="0"/>
    <n v="0"/>
    <n v="0"/>
    <m/>
    <m/>
    <m/>
    <m/>
    <m/>
    <n v="1"/>
    <n v="522622"/>
    <n v="177876"/>
    <x v="17"/>
    <m/>
    <m/>
    <m/>
    <m/>
    <m/>
    <m/>
    <m/>
    <s v="Conservation Area"/>
    <s v="CA25 Castelnau"/>
  </r>
  <r>
    <s v="16/0680/FUL"/>
    <x v="4"/>
    <x v="0"/>
    <d v="2016-04-19T00:00:00"/>
    <d v="2019-04-19T00:00:00"/>
    <d v="2016-07-01T00:00:00"/>
    <m/>
    <x v="1"/>
    <x v="0"/>
    <m/>
    <s v="Part demolition of single dwelling house and formation of two semi-detached houses."/>
    <s v="2 Firs Avenue_x000d_East Sheen_x000d_London_x000d_SW14 7NZ_x000d_"/>
    <m/>
    <m/>
    <m/>
    <m/>
    <n v="1"/>
    <m/>
    <m/>
    <m/>
    <m/>
    <n v="1"/>
    <m/>
    <m/>
    <m/>
    <m/>
    <n v="2"/>
    <m/>
    <m/>
    <m/>
    <m/>
    <n v="2"/>
    <n v="0"/>
    <n v="0"/>
    <n v="0"/>
    <n v="1"/>
    <n v="0"/>
    <n v="0"/>
    <n v="0"/>
    <n v="0"/>
    <n v="1"/>
    <m/>
    <n v="0"/>
    <n v="1"/>
    <n v="0"/>
    <n v="0"/>
    <n v="0"/>
    <n v="0"/>
    <m/>
    <m/>
    <m/>
    <m/>
    <m/>
    <n v="1"/>
    <n v="520343"/>
    <n v="175141"/>
    <x v="7"/>
    <m/>
    <m/>
    <m/>
    <m/>
    <m/>
    <m/>
    <m/>
    <m/>
    <m/>
  </r>
  <r>
    <s v="16/0905/FUL"/>
    <x v="0"/>
    <x v="0"/>
    <d v="2017-02-23T00:00:00"/>
    <d v="2020-02-23T00:00:00"/>
    <d v="2020-02-19T00:00:00"/>
    <m/>
    <x v="1"/>
    <x v="0"/>
    <m/>
    <s v="Demolition of the existing hall and the erection of a new community facility building and 6 flats"/>
    <s v="275 Sandycombe Road_x000d_Richmond_x000d_TW9 3LU_x000d_"/>
    <m/>
    <m/>
    <m/>
    <m/>
    <m/>
    <m/>
    <m/>
    <m/>
    <m/>
    <n v="0"/>
    <m/>
    <n v="4"/>
    <n v="2"/>
    <m/>
    <m/>
    <m/>
    <m/>
    <m/>
    <m/>
    <n v="6"/>
    <n v="4"/>
    <n v="2"/>
    <n v="0"/>
    <n v="0"/>
    <n v="0"/>
    <n v="0"/>
    <n v="0"/>
    <n v="0"/>
    <n v="6"/>
    <m/>
    <n v="0"/>
    <n v="0"/>
    <n v="3"/>
    <n v="3"/>
    <n v="0"/>
    <n v="0"/>
    <m/>
    <m/>
    <m/>
    <m/>
    <m/>
    <n v="6"/>
    <n v="519126"/>
    <n v="176420"/>
    <x v="9"/>
    <m/>
    <m/>
    <m/>
    <s v="Mixed Use Area"/>
    <s v="Sandycombe Road North"/>
    <m/>
    <m/>
    <s v="Conservation Area"/>
    <s v="CA15 Kew Gardens Kew"/>
  </r>
  <r>
    <s v="16/1145/FUL"/>
    <x v="2"/>
    <x v="0"/>
    <d v="2016-12-15T00:00:00"/>
    <d v="2019-12-15T00:00:00"/>
    <d v="2019-02-01T00:00:00"/>
    <m/>
    <x v="1"/>
    <x v="0"/>
    <m/>
    <s v="Conversion of part lower ground floor to form 1 x 1 bed self contained flat. New external staircase to match existing"/>
    <s v="19 - 21 Lower Teddington Road_x000d_Hampton Wick_x000d__x000d_"/>
    <s v="KT1 4EU"/>
    <m/>
    <m/>
    <m/>
    <m/>
    <m/>
    <m/>
    <m/>
    <m/>
    <n v="0"/>
    <m/>
    <n v="1"/>
    <m/>
    <m/>
    <m/>
    <m/>
    <m/>
    <m/>
    <m/>
    <n v="1"/>
    <n v="1"/>
    <n v="0"/>
    <n v="0"/>
    <n v="0"/>
    <n v="0"/>
    <n v="0"/>
    <n v="0"/>
    <n v="0"/>
    <n v="1"/>
    <m/>
    <n v="0"/>
    <n v="1"/>
    <n v="0"/>
    <n v="0"/>
    <n v="0"/>
    <n v="0"/>
    <m/>
    <m/>
    <m/>
    <m/>
    <m/>
    <n v="1"/>
    <n v="517615"/>
    <n v="169709"/>
    <x v="3"/>
    <m/>
    <m/>
    <m/>
    <m/>
    <m/>
    <m/>
    <m/>
    <s v="Conservation Area"/>
    <s v="CA18 Hampton Wick"/>
  </r>
  <r>
    <s v="16/1373/FUL"/>
    <x v="1"/>
    <x v="0"/>
    <d v="2016-09-19T00:00:00"/>
    <d v="2019-09-19T00:00:00"/>
    <d v="2017-11-24T00:00:00"/>
    <m/>
    <x v="1"/>
    <x v="0"/>
    <m/>
    <s v="Alterations and refurbishment to provide a single family dwelling house."/>
    <s v="17 The Green, Richmond, TW9 1PX_x000a_"/>
    <s v="TW9 1PX"/>
    <m/>
    <m/>
    <m/>
    <m/>
    <m/>
    <m/>
    <m/>
    <m/>
    <n v="0"/>
    <m/>
    <m/>
    <m/>
    <m/>
    <m/>
    <n v="1"/>
    <m/>
    <m/>
    <m/>
    <n v="1"/>
    <n v="0"/>
    <n v="0"/>
    <n v="0"/>
    <n v="0"/>
    <n v="1"/>
    <n v="0"/>
    <n v="0"/>
    <n v="0"/>
    <n v="1"/>
    <m/>
    <n v="0"/>
    <n v="1"/>
    <n v="0"/>
    <n v="0"/>
    <n v="0"/>
    <n v="0"/>
    <m/>
    <m/>
    <m/>
    <m/>
    <m/>
    <n v="1"/>
    <n v="517807"/>
    <n v="174892"/>
    <x v="4"/>
    <m/>
    <s v="Richmond"/>
    <m/>
    <m/>
    <m/>
    <m/>
    <m/>
    <s v="Conservation Area"/>
    <s v="CA3 Richmond Green"/>
  </r>
  <r>
    <s v="16/1882/FUL"/>
    <x v="0"/>
    <x v="0"/>
    <d v="2017-05-30T00:00:00"/>
    <d v="2020-05-30T00:00:00"/>
    <d v="2019-04-01T00:00:00"/>
    <m/>
    <x v="1"/>
    <x v="0"/>
    <m/>
    <s v="Demolition of existing single dwelling and erection of a new single dwelling."/>
    <s v="9 Charlotte Road_x000d_Barnes_x000d_London_x000d_SW13 9QJ_x000d_"/>
    <s v="SW13 9QJ"/>
    <n v="1"/>
    <m/>
    <m/>
    <m/>
    <m/>
    <m/>
    <m/>
    <m/>
    <n v="1"/>
    <m/>
    <m/>
    <m/>
    <n v="1"/>
    <m/>
    <m/>
    <m/>
    <m/>
    <m/>
    <n v="1"/>
    <n v="-1"/>
    <n v="0"/>
    <n v="1"/>
    <n v="0"/>
    <n v="0"/>
    <n v="0"/>
    <n v="0"/>
    <n v="0"/>
    <n v="0"/>
    <m/>
    <n v="0"/>
    <n v="0"/>
    <n v="0"/>
    <n v="0"/>
    <n v="0"/>
    <n v="0"/>
    <m/>
    <m/>
    <m/>
    <m/>
    <m/>
    <n v="0"/>
    <n v="521779"/>
    <n v="176827"/>
    <x v="17"/>
    <m/>
    <m/>
    <m/>
    <m/>
    <m/>
    <m/>
    <m/>
    <m/>
    <m/>
  </r>
  <r>
    <s v="16/1903/FUL"/>
    <x v="1"/>
    <x v="0"/>
    <d v="2016-11-15T00:00:00"/>
    <d v="2020-11-01T00:00:00"/>
    <d v="2019-01-14T00:00:00"/>
    <d v="2020-05-18T00:00:00"/>
    <x v="1"/>
    <x v="0"/>
    <m/>
    <s v="Change of use from office (B1) to residential (C3), demolition and rebuild of the existing single storey rear building, basement extension to Grade II listed building in the Kew Green Conservation Area."/>
    <s v="63 Kew Green_x000d_Kew_x000d__x000d_"/>
    <m/>
    <m/>
    <m/>
    <m/>
    <m/>
    <m/>
    <m/>
    <m/>
    <m/>
    <n v="0"/>
    <m/>
    <m/>
    <n v="1"/>
    <m/>
    <m/>
    <m/>
    <m/>
    <m/>
    <m/>
    <n v="1"/>
    <n v="0"/>
    <n v="1"/>
    <n v="0"/>
    <n v="0"/>
    <n v="0"/>
    <n v="0"/>
    <n v="0"/>
    <n v="0"/>
    <n v="1"/>
    <m/>
    <n v="0"/>
    <n v="1"/>
    <n v="0"/>
    <n v="0"/>
    <n v="0"/>
    <n v="0"/>
    <m/>
    <m/>
    <m/>
    <m/>
    <m/>
    <n v="1"/>
    <n v="518846"/>
    <n v="177650"/>
    <x v="9"/>
    <m/>
    <m/>
    <s v="Thames Policy Area"/>
    <m/>
    <m/>
    <m/>
    <m/>
    <s v="Conservation Area"/>
    <s v="CA2 Kew Green"/>
  </r>
  <r>
    <s v="16/2306/FUL"/>
    <x v="2"/>
    <x v="0"/>
    <d v="2016-08-17T00:00:00"/>
    <d v="2019-08-17T00:00:00"/>
    <d v="2019-01-14T00:00:00"/>
    <m/>
    <x v="1"/>
    <x v="0"/>
    <m/>
    <s v="Conversion of the building into one family house, plus an additional apartment at basement level to the front."/>
    <s v="112 Richmond Hill_x000d_Richmond_x000d__x000d_"/>
    <m/>
    <n v="2"/>
    <n v="2"/>
    <n v="1"/>
    <m/>
    <m/>
    <m/>
    <m/>
    <m/>
    <n v="5"/>
    <m/>
    <n v="1"/>
    <m/>
    <m/>
    <n v="1"/>
    <m/>
    <m/>
    <m/>
    <m/>
    <n v="2"/>
    <n v="-1"/>
    <n v="-2"/>
    <n v="-1"/>
    <n v="1"/>
    <n v="0"/>
    <n v="0"/>
    <n v="0"/>
    <n v="0"/>
    <n v="-3"/>
    <m/>
    <n v="0"/>
    <n v="-3"/>
    <n v="0"/>
    <n v="0"/>
    <n v="0"/>
    <n v="0"/>
    <m/>
    <m/>
    <m/>
    <m/>
    <m/>
    <n v="-3"/>
    <n v="518294"/>
    <n v="174078"/>
    <x v="15"/>
    <m/>
    <m/>
    <s v="Thames Policy Area"/>
    <m/>
    <m/>
    <m/>
    <m/>
    <s v="Conservation Area"/>
    <s v="CA5 Richmond Hill"/>
  </r>
  <r>
    <s v="16/2637/FUL"/>
    <x v="0"/>
    <x v="0"/>
    <d v="2017-03-07T00:00:00"/>
    <d v="2020-03-07T00:00:00"/>
    <d v="2017-05-10T00:00:00"/>
    <m/>
    <x v="1"/>
    <x v="0"/>
    <m/>
    <s v="Demolition of the existing building and the erection of new two-storey house, with a basement and front and rear light wells and a rear dormer._x000d__x000d_"/>
    <s v="9 Belgrave Road_x000d_Barnes_x000d_London_x000d_SW13 9NS_x000d_"/>
    <m/>
    <m/>
    <m/>
    <m/>
    <n v="1"/>
    <m/>
    <m/>
    <m/>
    <m/>
    <n v="1"/>
    <m/>
    <m/>
    <m/>
    <m/>
    <n v="1"/>
    <m/>
    <m/>
    <m/>
    <m/>
    <n v="1"/>
    <n v="0"/>
    <n v="0"/>
    <n v="0"/>
    <n v="0"/>
    <n v="0"/>
    <n v="0"/>
    <n v="0"/>
    <n v="0"/>
    <n v="0"/>
    <m/>
    <n v="0"/>
    <n v="0"/>
    <n v="0"/>
    <n v="0"/>
    <n v="0"/>
    <n v="0"/>
    <m/>
    <m/>
    <m/>
    <m/>
    <m/>
    <n v="0"/>
    <n v="521872"/>
    <n v="177181"/>
    <x v="17"/>
    <m/>
    <m/>
    <m/>
    <m/>
    <m/>
    <m/>
    <m/>
    <m/>
    <m/>
  </r>
  <r>
    <s v="16/2647/FUL"/>
    <x v="0"/>
    <x v="0"/>
    <d v="2017-10-10T00:00:00"/>
    <d v="2020-10-10T00:00:00"/>
    <d v="2019-12-02T00:00:00"/>
    <m/>
    <x v="1"/>
    <x v="2"/>
    <m/>
    <s v="Demolition of the existing office (B1a) building (395 sq.m) and the erection a part five / part six-storey mixed-use building comprisnig a ground floor office / commercial unit (300 sq.m) and 22 (11 x 1 and 11 x 2 bed) affordable 'shared ownership' apartm"/>
    <s v="2 High Street_x000d_Teddington_x000d_TW11 8EW_x000d_"/>
    <s v="TW11 8EW"/>
    <m/>
    <m/>
    <m/>
    <m/>
    <m/>
    <m/>
    <m/>
    <m/>
    <n v="0"/>
    <s v="Y"/>
    <n v="11"/>
    <n v="11"/>
    <m/>
    <m/>
    <m/>
    <m/>
    <m/>
    <n v="22"/>
    <n v="22"/>
    <n v="11"/>
    <n v="11"/>
    <n v="0"/>
    <n v="0"/>
    <n v="0"/>
    <n v="0"/>
    <n v="0"/>
    <n v="0"/>
    <n v="22"/>
    <m/>
    <n v="0"/>
    <n v="11"/>
    <n v="11"/>
    <n v="0"/>
    <n v="0"/>
    <n v="0"/>
    <m/>
    <m/>
    <m/>
    <m/>
    <m/>
    <n v="22"/>
    <n v="515918"/>
    <n v="171031"/>
    <x v="0"/>
    <m/>
    <s v="Teddington"/>
    <m/>
    <m/>
    <m/>
    <m/>
    <m/>
    <m/>
    <m/>
  </r>
  <r>
    <s v="16/2709/FUL"/>
    <x v="0"/>
    <x v="0"/>
    <d v="2017-04-10T00:00:00"/>
    <d v="2020-04-10T00:00:00"/>
    <d v="2020-03-22T00:00:00"/>
    <m/>
    <x v="1"/>
    <x v="0"/>
    <m/>
    <s v="Demolition of the existing building and the erection of two new two-storey houses, one with a basement and side lightwells and the other with a basement with rear lightwell and rear dormer."/>
    <s v="29 Howsman Road_x000d_Barnes_x000d_London_x000d_SW13 9AW_x000d_"/>
    <s v="SW13 9AW"/>
    <n v="2"/>
    <m/>
    <m/>
    <m/>
    <m/>
    <m/>
    <m/>
    <m/>
    <n v="2"/>
    <m/>
    <m/>
    <n v="2"/>
    <m/>
    <m/>
    <m/>
    <m/>
    <m/>
    <m/>
    <n v="2"/>
    <n v="-2"/>
    <n v="2"/>
    <n v="0"/>
    <n v="0"/>
    <n v="0"/>
    <n v="0"/>
    <n v="0"/>
    <n v="0"/>
    <n v="0"/>
    <m/>
    <n v="0"/>
    <n v="0"/>
    <n v="0"/>
    <n v="0"/>
    <n v="0"/>
    <n v="0"/>
    <m/>
    <m/>
    <m/>
    <m/>
    <m/>
    <n v="0"/>
    <n v="522192"/>
    <n v="177628"/>
    <x v="17"/>
    <s v="Garden Land"/>
    <m/>
    <m/>
    <m/>
    <m/>
    <m/>
    <m/>
    <m/>
    <m/>
  </r>
  <r>
    <s v="16/3293/RES"/>
    <x v="0"/>
    <x v="0"/>
    <d v="2016-11-03T00:00:00"/>
    <d v="2019-11-03T00:00:00"/>
    <d v="2017-03-13T00:00:00"/>
    <m/>
    <x v="1"/>
    <x v="1"/>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
    <n v="11"/>
    <n v="5"/>
    <n v="3"/>
    <m/>
    <m/>
    <m/>
    <n v="22"/>
    <n v="22"/>
    <n v="3"/>
    <n v="11"/>
    <n v="5"/>
    <n v="3"/>
    <n v="0"/>
    <n v="0"/>
    <n v="0"/>
    <n v="0"/>
    <n v="22"/>
    <m/>
    <n v="0"/>
    <n v="0"/>
    <n v="0"/>
    <n v="11"/>
    <n v="11"/>
    <n v="0"/>
    <m/>
    <m/>
    <m/>
    <m/>
    <m/>
    <n v="22"/>
    <n v="515304"/>
    <n v="173889"/>
    <x v="1"/>
    <m/>
    <m/>
    <m/>
    <m/>
    <m/>
    <m/>
    <m/>
    <m/>
    <m/>
  </r>
  <r>
    <s v="16/3293/RES"/>
    <x v="0"/>
    <x v="0"/>
    <d v="2016-11-03T00:00:00"/>
    <d v="2019-11-03T00:00:00"/>
    <d v="2017-03-13T00:00:00"/>
    <m/>
    <x v="1"/>
    <x v="0"/>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38"/>
    <n v="59"/>
    <n v="31"/>
    <n v="18"/>
    <m/>
    <m/>
    <m/>
    <m/>
    <n v="146"/>
    <n v="38"/>
    <n v="59"/>
    <n v="31"/>
    <n v="18"/>
    <n v="0"/>
    <n v="0"/>
    <n v="0"/>
    <n v="0"/>
    <n v="146"/>
    <m/>
    <n v="0"/>
    <n v="0"/>
    <n v="0"/>
    <n v="48.666666666666664"/>
    <n v="48.666666666666664"/>
    <n v="48.666666666666664"/>
    <m/>
    <m/>
    <m/>
    <m/>
    <m/>
    <n v="146"/>
    <n v="515304"/>
    <n v="173889"/>
    <x v="1"/>
    <m/>
    <m/>
    <m/>
    <m/>
    <m/>
    <m/>
    <m/>
    <m/>
    <m/>
  </r>
  <r>
    <s v="16/3293/RES"/>
    <x v="0"/>
    <x v="0"/>
    <d v="2016-11-03T00:00:00"/>
    <d v="2019-11-03T00:00:00"/>
    <d v="2017-03-13T00:00:00"/>
    <m/>
    <x v="1"/>
    <x v="2"/>
    <m/>
    <s v="Detailed Reserved Matters application including Appearance, Landscaping, Layout and Scale for the Schools Development Zone pursuant to Conditions U08026 and U08031 of Outline Planning Permission 15/3038/OUT dated 16.08.16 (Outline application for the demo"/>
    <s v="Land At Junction Of A316 And Langhorn Drive And Richmond College Site (Including Craneford Way East Playing Fields And Marsh Farm Lane)_x000d_Egerton Road_x000d_Twickenham"/>
    <s v="TW2 7SJ"/>
    <m/>
    <m/>
    <m/>
    <m/>
    <m/>
    <m/>
    <m/>
    <m/>
    <n v="0"/>
    <s v="Y"/>
    <n v="4"/>
    <n v="1"/>
    <m/>
    <m/>
    <m/>
    <m/>
    <m/>
    <n v="5"/>
    <n v="5"/>
    <n v="4"/>
    <n v="1"/>
    <n v="0"/>
    <n v="0"/>
    <n v="0"/>
    <n v="0"/>
    <n v="0"/>
    <n v="0"/>
    <n v="5"/>
    <m/>
    <n v="0"/>
    <n v="0"/>
    <n v="0"/>
    <n v="2.5"/>
    <n v="2.5"/>
    <n v="0"/>
    <m/>
    <m/>
    <m/>
    <m/>
    <m/>
    <n v="5"/>
    <n v="515304"/>
    <n v="173889"/>
    <x v="1"/>
    <m/>
    <m/>
    <m/>
    <m/>
    <m/>
    <m/>
    <m/>
    <m/>
    <m/>
  </r>
  <r>
    <s v="16/3450/FUL"/>
    <x v="0"/>
    <x v="0"/>
    <d v="2017-10-16T00:00:00"/>
    <d v="2020-10-16T00:00:00"/>
    <d v="2018-09-03T00:00:00"/>
    <d v="2020-09-09T00:00:00"/>
    <x v="1"/>
    <x v="0"/>
    <m/>
    <s v="Demolition of existing buildings and removal of advertising hoardings. Resiting of existing recycling bins. Erection of a part 3 storey part 4 storey building with commercial use (Flexible Use Class A1, A2 and/or B1a) on the ground floor with 9 flats (4 x"/>
    <s v="Land At_x000d_149 - 151 Heath Road_x000d_Twickenham_x000d__x000d_"/>
    <s v="TW1 4BH"/>
    <m/>
    <m/>
    <m/>
    <m/>
    <m/>
    <m/>
    <m/>
    <m/>
    <n v="0"/>
    <m/>
    <n v="8"/>
    <n v="1"/>
    <m/>
    <m/>
    <m/>
    <m/>
    <m/>
    <m/>
    <n v="9"/>
    <n v="8"/>
    <n v="1"/>
    <n v="0"/>
    <n v="0"/>
    <n v="0"/>
    <n v="0"/>
    <n v="0"/>
    <n v="0"/>
    <n v="9"/>
    <m/>
    <n v="0"/>
    <n v="9"/>
    <n v="0"/>
    <n v="0"/>
    <n v="0"/>
    <n v="0"/>
    <m/>
    <m/>
    <m/>
    <m/>
    <m/>
    <n v="9"/>
    <n v="515669"/>
    <n v="173102"/>
    <x v="5"/>
    <m/>
    <s v="Twickenham"/>
    <m/>
    <m/>
    <m/>
    <m/>
    <m/>
    <m/>
    <m/>
  </r>
  <r>
    <s v="16/3506/FUL"/>
    <x v="0"/>
    <x v="0"/>
    <d v="2018-10-11T00:00:00"/>
    <d v="2021-10-11T00:00:00"/>
    <d v="2019-10-14T00:00:00"/>
    <m/>
    <x v="1"/>
    <x v="1"/>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19"/>
    <m/>
    <m/>
    <m/>
    <m/>
    <m/>
    <m/>
    <m/>
    <n v="19"/>
    <n v="19"/>
    <n v="0"/>
    <n v="0"/>
    <n v="0"/>
    <n v="0"/>
    <n v="0"/>
    <n v="0"/>
    <n v="0"/>
    <n v="19"/>
    <m/>
    <n v="0"/>
    <n v="19"/>
    <n v="0"/>
    <n v="0"/>
    <n v="0"/>
    <n v="0"/>
    <m/>
    <m/>
    <m/>
    <m/>
    <m/>
    <n v="19"/>
    <n v="513257"/>
    <n v="174057"/>
    <x v="13"/>
    <m/>
    <m/>
    <m/>
    <m/>
    <m/>
    <m/>
    <m/>
    <m/>
    <m/>
  </r>
  <r>
    <s v="16/3506/FUL"/>
    <x v="0"/>
    <x v="0"/>
    <d v="2018-10-11T00:00:00"/>
    <d v="2021-10-11T00:00:00"/>
    <d v="2019-10-14T00:00:00"/>
    <m/>
    <x v="1"/>
    <x v="2"/>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0"/>
    <n v="0"/>
    <n v="0"/>
    <n v="0"/>
    <m/>
    <m/>
    <m/>
    <m/>
    <n v="0"/>
    <s v="Y"/>
    <n v="5"/>
    <m/>
    <m/>
    <m/>
    <m/>
    <m/>
    <m/>
    <m/>
    <n v="5"/>
    <n v="5"/>
    <n v="0"/>
    <n v="0"/>
    <n v="0"/>
    <n v="0"/>
    <n v="0"/>
    <n v="0"/>
    <n v="0"/>
    <n v="5"/>
    <m/>
    <n v="0"/>
    <n v="5"/>
    <n v="0"/>
    <n v="0"/>
    <n v="0"/>
    <n v="0"/>
    <m/>
    <m/>
    <m/>
    <m/>
    <m/>
    <n v="5"/>
    <n v="513257"/>
    <n v="174057"/>
    <x v="13"/>
    <m/>
    <m/>
    <m/>
    <m/>
    <m/>
    <m/>
    <m/>
    <m/>
    <m/>
  </r>
  <r>
    <s v="16/3506/FUL"/>
    <x v="0"/>
    <x v="0"/>
    <d v="2018-10-11T00:00:00"/>
    <d v="2021-10-11T00:00:00"/>
    <d v="2019-10-14T00:00:00"/>
    <m/>
    <x v="1"/>
    <x v="3"/>
    <m/>
    <s v="Demolition of the existing building and erection of 2 buildings at single-storey and three-stories to provide 24 affordable residential units (sheltered accommodation for older people of the minimum age of 55) with associated external amenities, communal"/>
    <s v="Somerville House_x000d_1 Rodney Road_x000d_Twickenham_x000d__x000d_"/>
    <s v="TW2 7AL"/>
    <n v="29"/>
    <n v="1"/>
    <n v="0"/>
    <n v="0"/>
    <m/>
    <m/>
    <m/>
    <m/>
    <n v="30"/>
    <s v="Y"/>
    <n v="0"/>
    <m/>
    <m/>
    <m/>
    <m/>
    <m/>
    <m/>
    <m/>
    <n v="0"/>
    <n v="-29"/>
    <n v="-1"/>
    <n v="0"/>
    <n v="0"/>
    <n v="0"/>
    <n v="0"/>
    <n v="0"/>
    <n v="0"/>
    <n v="-30"/>
    <m/>
    <n v="0"/>
    <n v="-30"/>
    <n v="0"/>
    <n v="0"/>
    <n v="0"/>
    <n v="0"/>
    <m/>
    <m/>
    <m/>
    <m/>
    <m/>
    <n v="-30"/>
    <n v="513257"/>
    <n v="174057"/>
    <x v="13"/>
    <m/>
    <m/>
    <m/>
    <m/>
    <m/>
    <m/>
    <m/>
    <m/>
    <m/>
  </r>
  <r>
    <s v="16/3552/FUL"/>
    <x v="3"/>
    <x v="0"/>
    <d v="2018-04-24T00:00:00"/>
    <d v="2021-04-24T00:00:00"/>
    <d v="2018-04-25T00:00:00"/>
    <m/>
    <x v="1"/>
    <x v="0"/>
    <m/>
    <s v="Conversion and extension of the existing convent buildings (following demolition of some mid-20th century extensions), together with new build apartments and houses, to provide a total of 23 residential retirement units, an estate managers office and meet"/>
    <s v="St Michaels Convent, 56 Ham Common, Ham, Richmond, TW10 7JH_x000a_"/>
    <s v="TW10 7JH"/>
    <m/>
    <m/>
    <m/>
    <m/>
    <m/>
    <m/>
    <m/>
    <m/>
    <n v="0"/>
    <m/>
    <n v="1"/>
    <n v="9"/>
    <n v="1"/>
    <n v="1"/>
    <m/>
    <m/>
    <m/>
    <m/>
    <n v="12"/>
    <n v="1"/>
    <n v="9"/>
    <n v="1"/>
    <n v="1"/>
    <n v="0"/>
    <n v="0"/>
    <n v="0"/>
    <n v="0"/>
    <n v="12"/>
    <m/>
    <n v="0"/>
    <n v="12"/>
    <n v="0"/>
    <n v="0"/>
    <n v="0"/>
    <n v="0"/>
    <m/>
    <m/>
    <m/>
    <m/>
    <m/>
    <n v="12"/>
    <n v="517752"/>
    <n v="172177"/>
    <x v="15"/>
    <m/>
    <m/>
    <m/>
    <m/>
    <m/>
    <m/>
    <m/>
    <s v="Conservation Area"/>
    <s v="CA7 Ham Common"/>
  </r>
  <r>
    <s v="16/3625/FUL"/>
    <x v="0"/>
    <x v="0"/>
    <d v="2017-11-30T00:00:00"/>
    <d v="2020-11-30T00:00:00"/>
    <d v="2018-09-01T00:00:00"/>
    <m/>
    <x v="1"/>
    <x v="0"/>
    <m/>
    <s v="Demolition of existing car repair workshop and replacement with 1 no. ground floor B1(a) commercial unit and 1 no. 2 bed residential unit with associated landscaping, car and cycle parking."/>
    <s v="65 Holly Road_x000d_Twickenham_x000d_TW1 4HF_x000d_"/>
    <s v="TW1 4HF"/>
    <m/>
    <m/>
    <m/>
    <m/>
    <m/>
    <m/>
    <m/>
    <m/>
    <n v="0"/>
    <m/>
    <m/>
    <n v="1"/>
    <m/>
    <m/>
    <m/>
    <m/>
    <m/>
    <m/>
    <n v="1"/>
    <n v="0"/>
    <n v="1"/>
    <n v="0"/>
    <n v="0"/>
    <n v="0"/>
    <n v="0"/>
    <n v="0"/>
    <n v="0"/>
    <n v="1"/>
    <m/>
    <n v="0"/>
    <n v="1"/>
    <n v="0"/>
    <n v="0"/>
    <n v="0"/>
    <n v="0"/>
    <m/>
    <m/>
    <m/>
    <m/>
    <m/>
    <n v="1"/>
    <n v="516115"/>
    <n v="173199"/>
    <x v="10"/>
    <m/>
    <s v="Twickenham"/>
    <m/>
    <m/>
    <m/>
    <m/>
    <m/>
    <m/>
    <m/>
  </r>
  <r>
    <s v="16/3961/FUL"/>
    <x v="0"/>
    <x v="0"/>
    <d v="2017-02-20T00:00:00"/>
    <d v="2020-08-10T00:00:00"/>
    <d v="2019-01-14T00:00:00"/>
    <m/>
    <x v="1"/>
    <x v="0"/>
    <m/>
    <s v="Demolition of rear stock room and yard to create a 2 bedroom dwelling over 2 floors with one integral parking space at ground level."/>
    <s v="8 Barnes High Street_x000d_Barnes_x000d_London_x000d_SW13 9LW_x000d_"/>
    <s v="SW13 9LW"/>
    <m/>
    <m/>
    <m/>
    <m/>
    <m/>
    <m/>
    <m/>
    <m/>
    <n v="0"/>
    <m/>
    <m/>
    <n v="1"/>
    <m/>
    <m/>
    <m/>
    <m/>
    <m/>
    <m/>
    <n v="1"/>
    <n v="0"/>
    <n v="1"/>
    <n v="0"/>
    <n v="0"/>
    <n v="0"/>
    <n v="0"/>
    <n v="0"/>
    <n v="0"/>
    <n v="1"/>
    <m/>
    <n v="0"/>
    <n v="1"/>
    <n v="0"/>
    <n v="0"/>
    <n v="0"/>
    <n v="0"/>
    <m/>
    <m/>
    <m/>
    <m/>
    <m/>
    <n v="1"/>
    <n v="521729"/>
    <n v="176400"/>
    <x v="6"/>
    <m/>
    <m/>
    <m/>
    <s v="Mixed Use Area"/>
    <s v="High Street"/>
    <m/>
    <m/>
    <s v="Conservation Area"/>
    <s v="CA1 Barnes Green"/>
  </r>
  <r>
    <s v="16/4127/FUL"/>
    <x v="2"/>
    <x v="0"/>
    <d v="2017-12-04T00:00:00"/>
    <d v="2021-01-30T00:00:00"/>
    <d v="2019-03-01T00:00:00"/>
    <m/>
    <x v="1"/>
    <x v="0"/>
    <m/>
    <s v="Conversion of property into two residential units (1 x 2 bed house and 1 x 3 bed house) with associated alterations to fenestration arrangements; Levelling of ground level; new canopy structure to east elevation and enlargement of rear terrace at ground l"/>
    <s v="Weir Cottage_x000d_5 Broom Road_x000d_Teddington_x000d__x000d_"/>
    <s v="TW11 9NR"/>
    <m/>
    <m/>
    <m/>
    <m/>
    <n v="1"/>
    <m/>
    <m/>
    <m/>
    <n v="1"/>
    <m/>
    <m/>
    <n v="1"/>
    <n v="1"/>
    <m/>
    <m/>
    <m/>
    <m/>
    <m/>
    <n v="2"/>
    <n v="0"/>
    <n v="1"/>
    <n v="1"/>
    <n v="0"/>
    <n v="-1"/>
    <n v="0"/>
    <n v="0"/>
    <n v="0"/>
    <n v="1"/>
    <m/>
    <n v="0"/>
    <n v="1"/>
    <n v="0"/>
    <n v="0"/>
    <n v="0"/>
    <n v="0"/>
    <m/>
    <m/>
    <m/>
    <m/>
    <m/>
    <n v="1"/>
    <n v="516719"/>
    <n v="171329"/>
    <x v="0"/>
    <m/>
    <m/>
    <s v="Thames Policy Area"/>
    <m/>
    <m/>
    <m/>
    <m/>
    <s v="Conservation Area"/>
    <s v="CA27 Teddington Lock"/>
  </r>
  <r>
    <s v="16/4405/FUL"/>
    <x v="0"/>
    <x v="0"/>
    <d v="2017-03-27T00:00:00"/>
    <d v="2020-03-27T00:00:00"/>
    <d v="2017-09-01T00:00:00"/>
    <m/>
    <x v="1"/>
    <x v="0"/>
    <m/>
    <s v="Demolition of an existing 3 bedroom bungalow and erection of a new 4 bedroom two storey dwelling (including loft accommodation) with associated landscaping works)."/>
    <s v="46 Sixth Cross Road_x000d_Twickenham_x000d_TW2 5PB_x000d_"/>
    <s v="TW2 5PB"/>
    <m/>
    <m/>
    <n v="1"/>
    <m/>
    <m/>
    <m/>
    <m/>
    <m/>
    <n v="1"/>
    <m/>
    <m/>
    <m/>
    <m/>
    <n v="1"/>
    <m/>
    <m/>
    <m/>
    <n v="0"/>
    <n v="1"/>
    <n v="0"/>
    <n v="0"/>
    <n v="-1"/>
    <n v="1"/>
    <n v="0"/>
    <n v="0"/>
    <n v="0"/>
    <n v="0"/>
    <n v="0"/>
    <m/>
    <n v="0"/>
    <n v="0"/>
    <n v="0"/>
    <n v="0"/>
    <n v="0"/>
    <n v="0"/>
    <m/>
    <m/>
    <m/>
    <m/>
    <m/>
    <n v="0"/>
    <n v="514468"/>
    <n v="172144"/>
    <x v="2"/>
    <m/>
    <m/>
    <m/>
    <m/>
    <m/>
    <m/>
    <m/>
    <m/>
    <m/>
  </r>
  <r>
    <s v="16/4635/FUL"/>
    <x v="0"/>
    <x v="0"/>
    <d v="2017-03-07T00:00:00"/>
    <d v="2020-03-07T00:00:00"/>
    <d v="2020-03-01T00:00:00"/>
    <m/>
    <x v="1"/>
    <x v="0"/>
    <m/>
    <s v="Construction of a three bedroom single storey dwelling with associated hard and soft landscaping, parking and access road (bollard lit)"/>
    <s v="Land Rear Of 12 To 36_x000d_Vincam Close_x000d_Twickenham_x000d__x000d_"/>
    <m/>
    <m/>
    <m/>
    <m/>
    <m/>
    <m/>
    <m/>
    <m/>
    <m/>
    <n v="0"/>
    <m/>
    <m/>
    <m/>
    <n v="1"/>
    <m/>
    <m/>
    <m/>
    <m/>
    <n v="0"/>
    <n v="1"/>
    <n v="0"/>
    <n v="0"/>
    <n v="1"/>
    <n v="0"/>
    <n v="0"/>
    <n v="0"/>
    <n v="0"/>
    <n v="0"/>
    <n v="1"/>
    <m/>
    <n v="0"/>
    <n v="1"/>
    <n v="0"/>
    <n v="0"/>
    <n v="0"/>
    <n v="0"/>
    <m/>
    <m/>
    <m/>
    <m/>
    <m/>
    <n v="1"/>
    <n v="513432"/>
    <n v="173849"/>
    <x v="13"/>
    <m/>
    <m/>
    <m/>
    <m/>
    <m/>
    <m/>
    <m/>
    <m/>
    <m/>
  </r>
  <r>
    <s v="16/4772/GPD15"/>
    <x v="1"/>
    <x v="1"/>
    <d v="2017-02-24T00:00:00"/>
    <d v="2020-12-21T00:00:00"/>
    <d v="2019-10-07T00:00:00"/>
    <m/>
    <x v="1"/>
    <x v="0"/>
    <m/>
    <s v="Change of use of first floor from B1 office use to C3 residential use comprising 9 units (8 x 1 bed and 1 x 2 bed flats)"/>
    <s v="52 - 64 Heath Road_x000d_Twickenham_x000d__x000d_"/>
    <s v="-"/>
    <m/>
    <m/>
    <m/>
    <m/>
    <m/>
    <m/>
    <m/>
    <m/>
    <n v="0"/>
    <m/>
    <n v="8"/>
    <n v="1"/>
    <m/>
    <m/>
    <m/>
    <m/>
    <m/>
    <m/>
    <n v="9"/>
    <n v="8"/>
    <n v="1"/>
    <n v="0"/>
    <n v="0"/>
    <n v="0"/>
    <n v="0"/>
    <n v="0"/>
    <n v="0"/>
    <n v="9"/>
    <m/>
    <n v="0"/>
    <n v="9"/>
    <n v="0"/>
    <n v="0"/>
    <n v="0"/>
    <n v="0"/>
    <m/>
    <m/>
    <m/>
    <m/>
    <m/>
    <n v="9"/>
    <n v="515974"/>
    <n v="173142"/>
    <x v="10"/>
    <m/>
    <s v="Twickenham"/>
    <m/>
    <m/>
    <m/>
    <m/>
    <m/>
    <m/>
    <m/>
  </r>
  <r>
    <s v="16/4890/FUL"/>
    <x v="0"/>
    <x v="0"/>
    <d v="2017-09-08T00:00:00"/>
    <d v="2020-09-08T00:00:00"/>
    <d v="2019-03-30T00:00:00"/>
    <m/>
    <x v="1"/>
    <x v="0"/>
    <m/>
    <s v="Redevelopment of site to provide for a mixed use development of 535m2 of commercial space (B1 (a), (b) and (c) and B8 use) and 20 residential units, together with car parking and landscaping"/>
    <s v="1 - 9 Sandycombe Road Richmond_x000a__x000a_"/>
    <m/>
    <m/>
    <m/>
    <m/>
    <m/>
    <m/>
    <m/>
    <m/>
    <m/>
    <n v="0"/>
    <m/>
    <n v="9"/>
    <n v="7"/>
    <n v="4"/>
    <m/>
    <m/>
    <m/>
    <m/>
    <m/>
    <n v="20"/>
    <n v="9"/>
    <n v="7"/>
    <n v="4"/>
    <n v="0"/>
    <n v="0"/>
    <n v="0"/>
    <n v="0"/>
    <n v="0"/>
    <n v="20"/>
    <m/>
    <n v="0"/>
    <n v="10"/>
    <n v="10"/>
    <n v="0"/>
    <n v="0"/>
    <n v="0"/>
    <m/>
    <m/>
    <m/>
    <m/>
    <m/>
    <n v="20"/>
    <n v="519012"/>
    <n v="175761"/>
    <x v="9"/>
    <m/>
    <m/>
    <m/>
    <m/>
    <m/>
    <m/>
    <m/>
    <m/>
    <m/>
  </r>
  <r>
    <s v="16/4902/FUL"/>
    <x v="0"/>
    <x v="0"/>
    <d v="2017-06-22T00:00:00"/>
    <d v="2021-11-12T00:00:00"/>
    <d v="2019-10-09T00:00:00"/>
    <m/>
    <x v="1"/>
    <x v="0"/>
    <m/>
    <s v="Construction of a two storey, one bed dwelling-house along with associated cycle storage, car parking and landscaping."/>
    <s v="91 Sheen Road_x000d_Richmond_x000d_TW9 1YJ"/>
    <s v="TW9 1YJ"/>
    <m/>
    <m/>
    <m/>
    <m/>
    <m/>
    <m/>
    <m/>
    <m/>
    <n v="0"/>
    <m/>
    <n v="1"/>
    <m/>
    <m/>
    <m/>
    <m/>
    <m/>
    <m/>
    <m/>
    <n v="1"/>
    <n v="1"/>
    <n v="0"/>
    <n v="0"/>
    <n v="0"/>
    <n v="0"/>
    <n v="0"/>
    <n v="0"/>
    <n v="0"/>
    <n v="1"/>
    <m/>
    <n v="0"/>
    <n v="1"/>
    <n v="0"/>
    <n v="0"/>
    <n v="0"/>
    <n v="0"/>
    <m/>
    <m/>
    <m/>
    <m/>
    <m/>
    <n v="1"/>
    <n v="518494"/>
    <n v="175035"/>
    <x v="4"/>
    <m/>
    <m/>
    <m/>
    <m/>
    <m/>
    <m/>
    <m/>
    <s v="Conservation Area"/>
    <s v="CA31 Sheen Road Richmond"/>
  </r>
  <r>
    <s v="17/0323/FUL"/>
    <x v="0"/>
    <x v="0"/>
    <d v="2018-03-22T00:00:00"/>
    <d v="2021-03-23T00:00:00"/>
    <d v="2020-03-31T00:00:00"/>
    <m/>
    <x v="1"/>
    <x v="0"/>
    <m/>
    <s v="Erection of a three-storey building to provide  4 two-bedroom residential units (Class C3) separate refuse facilities and altered parking layout."/>
    <s v="Courtyard Apartments_x000d_70B Hampton Road_x000d_Teddington_x000d__x000d_"/>
    <s v="TW11 0JX"/>
    <m/>
    <m/>
    <m/>
    <m/>
    <m/>
    <m/>
    <m/>
    <m/>
    <n v="0"/>
    <m/>
    <m/>
    <n v="4"/>
    <m/>
    <m/>
    <m/>
    <m/>
    <m/>
    <m/>
    <n v="4"/>
    <n v="0"/>
    <n v="4"/>
    <n v="0"/>
    <n v="0"/>
    <n v="0"/>
    <n v="0"/>
    <n v="0"/>
    <n v="0"/>
    <n v="4"/>
    <m/>
    <n v="0"/>
    <n v="2"/>
    <n v="2"/>
    <n v="0"/>
    <n v="0"/>
    <n v="0"/>
    <m/>
    <m/>
    <m/>
    <m/>
    <m/>
    <n v="4"/>
    <n v="514687"/>
    <n v="171290"/>
    <x v="11"/>
    <m/>
    <m/>
    <m/>
    <m/>
    <m/>
    <m/>
    <m/>
    <m/>
    <m/>
  </r>
  <r>
    <s v="17/0330/FUL"/>
    <x v="0"/>
    <x v="0"/>
    <d v="2017-08-07T00:00:00"/>
    <d v="2020-08-07T00:00:00"/>
    <d v="2018-03-20T00:00:00"/>
    <m/>
    <x v="1"/>
    <x v="0"/>
    <m/>
    <s v="1 no. 2 storey 6-bedroom dwellinghouse with rooms in the roof and 1 no. one storey with basement 5-bedroom dwelling house (following demolition of existing dwelling at No.58 Munster Road), and associated refuse/recycling store, cycle parking and parking a"/>
    <s v="58 Munster Road_x000d_Teddington_x000d_TW11 9LL"/>
    <s v="TW11 9LL"/>
    <m/>
    <m/>
    <m/>
    <n v="1"/>
    <m/>
    <m/>
    <m/>
    <m/>
    <n v="1"/>
    <m/>
    <m/>
    <m/>
    <m/>
    <m/>
    <n v="1"/>
    <n v="1"/>
    <m/>
    <m/>
    <n v="2"/>
    <n v="0"/>
    <n v="0"/>
    <n v="0"/>
    <n v="-1"/>
    <n v="1"/>
    <n v="1"/>
    <n v="0"/>
    <n v="0"/>
    <n v="1"/>
    <m/>
    <n v="0"/>
    <n v="1"/>
    <n v="0"/>
    <n v="0"/>
    <n v="0"/>
    <n v="0"/>
    <m/>
    <m/>
    <m/>
    <m/>
    <m/>
    <n v="1"/>
    <n v="517123"/>
    <n v="170663"/>
    <x v="3"/>
    <s v="Garden Land"/>
    <m/>
    <m/>
    <m/>
    <m/>
    <m/>
    <m/>
    <m/>
    <m/>
  </r>
  <r>
    <s v="17/1285/GPD15"/>
    <x v="1"/>
    <x v="1"/>
    <d v="2017-05-26T00:00:00"/>
    <d v="2021-12-08T00:00:00"/>
    <d v="2020-01-13T00:00:00"/>
    <m/>
    <x v="1"/>
    <x v="0"/>
    <m/>
    <s v="Change of use from B1 office to C3 residential."/>
    <s v="First Floor_x000d_300 - 302 Sandycombe Road_x000d_Richmond_x000d__x000d_"/>
    <s v="TW9 3NG"/>
    <m/>
    <m/>
    <m/>
    <m/>
    <m/>
    <m/>
    <m/>
    <m/>
    <n v="0"/>
    <m/>
    <m/>
    <n v="2"/>
    <m/>
    <m/>
    <m/>
    <m/>
    <m/>
    <m/>
    <n v="2"/>
    <n v="0"/>
    <n v="2"/>
    <n v="0"/>
    <n v="0"/>
    <n v="0"/>
    <n v="0"/>
    <n v="0"/>
    <n v="0"/>
    <n v="2"/>
    <m/>
    <n v="0"/>
    <n v="2"/>
    <n v="0"/>
    <n v="0"/>
    <n v="0"/>
    <n v="0"/>
    <m/>
    <m/>
    <m/>
    <m/>
    <m/>
    <n v="2"/>
    <n v="519061"/>
    <n v="176662"/>
    <x v="9"/>
    <m/>
    <m/>
    <m/>
    <m/>
    <m/>
    <m/>
    <m/>
    <s v="Conservation Area"/>
    <s v="CA15 Kew Gardens Kew"/>
  </r>
  <r>
    <s v="17/1286/VRC"/>
    <x v="0"/>
    <x v="0"/>
    <d v="2017-10-05T00:00:00"/>
    <d v="2017-12-09T00:00:00"/>
    <d v="2017-10-05T00:00:00"/>
    <d v="2020-05-15T00:00:00"/>
    <x v="1"/>
    <x v="0"/>
    <m/>
    <s v="Variation of approved drawing nos attached to 14/0914/FUL to allow for the development of Block B as two blocks and an increase in the overall number of units from 220 to 238 and minor changes to the riverside walkway._x000d_To allow changes to the internal lay"/>
    <s v="7 - 11 Broom Road, Teddington Studios, Broom Road, Teddington_x000a__x000a_"/>
    <s v="TW11"/>
    <m/>
    <m/>
    <m/>
    <m/>
    <m/>
    <m/>
    <m/>
    <m/>
    <n v="0"/>
    <m/>
    <m/>
    <m/>
    <m/>
    <n v="6"/>
    <m/>
    <m/>
    <m/>
    <m/>
    <n v="6"/>
    <n v="0"/>
    <n v="0"/>
    <n v="0"/>
    <n v="6"/>
    <n v="0"/>
    <n v="0"/>
    <n v="0"/>
    <n v="0"/>
    <n v="6"/>
    <m/>
    <n v="0"/>
    <n v="6"/>
    <n v="0"/>
    <n v="0"/>
    <n v="0"/>
    <n v="0"/>
    <m/>
    <m/>
    <m/>
    <m/>
    <m/>
    <n v="6"/>
    <n v="516802"/>
    <n v="171333"/>
    <x v="0"/>
    <m/>
    <m/>
    <s v="Thames Policy Area"/>
    <m/>
    <m/>
    <m/>
    <m/>
    <m/>
    <m/>
  </r>
  <r>
    <s v="17/1453/FUL"/>
    <x v="1"/>
    <x v="0"/>
    <d v="2018-04-24T00:00:00"/>
    <d v="2021-04-24T00:00:00"/>
    <d v="2019-10-03T00:00:00"/>
    <m/>
    <x v="1"/>
    <x v="0"/>
    <m/>
    <s v="Change of use of premises to live/work unit (mixed C3/B1(c) (sui generis)).  First floor extension. Erection of timber screening to existing roof terrace. Alterations to existing elevations."/>
    <s v="100 Colne Road_x000d_Twickenham_x000d_TW2 6QE_x000d_"/>
    <s v="TW2 6QE"/>
    <m/>
    <m/>
    <m/>
    <m/>
    <m/>
    <m/>
    <m/>
    <m/>
    <n v="0"/>
    <m/>
    <n v="1"/>
    <m/>
    <m/>
    <m/>
    <m/>
    <m/>
    <m/>
    <m/>
    <n v="1"/>
    <n v="1"/>
    <n v="0"/>
    <n v="0"/>
    <n v="0"/>
    <n v="0"/>
    <n v="0"/>
    <n v="0"/>
    <n v="0"/>
    <n v="1"/>
    <m/>
    <n v="0"/>
    <n v="1"/>
    <n v="0"/>
    <n v="0"/>
    <n v="0"/>
    <n v="0"/>
    <m/>
    <m/>
    <m/>
    <m/>
    <m/>
    <n v="1"/>
    <n v="515313"/>
    <n v="173179"/>
    <x v="5"/>
    <m/>
    <m/>
    <m/>
    <m/>
    <m/>
    <m/>
    <m/>
    <m/>
    <m/>
  </r>
  <r>
    <s v="17/1937/FUL"/>
    <x v="1"/>
    <x v="0"/>
    <d v="2018-09-13T00:00:00"/>
    <d v="2021-09-13T00:00:00"/>
    <d v="2019-10-01T00:00:00"/>
    <m/>
    <x v="1"/>
    <x v="0"/>
    <m/>
    <s v="Demolition of the existing coach houses to allow for the erection of two dwellinghouses (1x 2b 4p and 1x 2b 3p) with internal cycle and refuse/recycle storages."/>
    <s v="2 - 3 Stable Mews_x000d_Twickenham_x000d__x000d_"/>
    <s v="TW1 4DN"/>
    <m/>
    <m/>
    <m/>
    <m/>
    <m/>
    <m/>
    <m/>
    <m/>
    <n v="0"/>
    <m/>
    <m/>
    <n v="2"/>
    <m/>
    <m/>
    <m/>
    <m/>
    <m/>
    <m/>
    <n v="2"/>
    <n v="0"/>
    <n v="2"/>
    <n v="0"/>
    <n v="0"/>
    <n v="0"/>
    <n v="0"/>
    <n v="0"/>
    <n v="0"/>
    <n v="2"/>
    <m/>
    <n v="0"/>
    <n v="2"/>
    <n v="0"/>
    <n v="0"/>
    <n v="0"/>
    <n v="0"/>
    <m/>
    <m/>
    <m/>
    <m/>
    <m/>
    <n v="2"/>
    <n v="515790"/>
    <n v="173166"/>
    <x v="5"/>
    <m/>
    <s v="Twickenham"/>
    <m/>
    <m/>
    <m/>
    <m/>
    <m/>
    <m/>
    <m/>
  </r>
  <r>
    <s v="17/1996/FUL"/>
    <x v="0"/>
    <x v="0"/>
    <d v="2017-11-28T00:00:00"/>
    <d v="2020-11-28T00:00:00"/>
    <d v="2019-02-01T00:00:00"/>
    <m/>
    <x v="1"/>
    <x v="0"/>
    <m/>
    <s v="Demolition of existing outbuildings and construction of 2 No. detached dwellinghouses."/>
    <s v="49 Clifford Avenue_x000d_East Sheen_x000d_London_x000d_SW14 7BW"/>
    <s v="SW14 7BW"/>
    <m/>
    <m/>
    <m/>
    <m/>
    <m/>
    <m/>
    <m/>
    <m/>
    <n v="0"/>
    <m/>
    <m/>
    <m/>
    <m/>
    <n v="2"/>
    <m/>
    <m/>
    <m/>
    <m/>
    <n v="2"/>
    <n v="0"/>
    <n v="0"/>
    <n v="0"/>
    <n v="2"/>
    <n v="0"/>
    <n v="0"/>
    <n v="0"/>
    <n v="0"/>
    <n v="2"/>
    <m/>
    <n v="0"/>
    <n v="2"/>
    <n v="0"/>
    <n v="0"/>
    <n v="0"/>
    <n v="0"/>
    <m/>
    <m/>
    <m/>
    <m/>
    <m/>
    <n v="2"/>
    <n v="519840"/>
    <n v="175428"/>
    <x v="12"/>
    <m/>
    <m/>
    <m/>
    <m/>
    <m/>
    <m/>
    <m/>
    <m/>
    <m/>
  </r>
  <r>
    <s v="17/2488/FUL"/>
    <x v="0"/>
    <x v="0"/>
    <d v="2017-08-25T00:00:00"/>
    <d v="2021-04-06T00:00:00"/>
    <d v="2018-12-01T00:00:00"/>
    <m/>
    <x v="1"/>
    <x v="0"/>
    <m/>
    <s v="Replacement dwellinghouse with associated landscaping, boundary treatment and summer house."/>
    <s v="32 Fife Road_x000d_East Sheen_x000d_London_x000d_SW14 7EL"/>
    <s v="SW14 7EL"/>
    <m/>
    <m/>
    <m/>
    <m/>
    <n v="1"/>
    <m/>
    <m/>
    <m/>
    <n v="1"/>
    <m/>
    <m/>
    <m/>
    <m/>
    <m/>
    <m/>
    <n v="1"/>
    <m/>
    <m/>
    <n v="1"/>
    <n v="0"/>
    <n v="0"/>
    <n v="0"/>
    <n v="0"/>
    <n v="-1"/>
    <n v="1"/>
    <n v="0"/>
    <n v="0"/>
    <n v="0"/>
    <m/>
    <n v="0"/>
    <n v="0"/>
    <n v="0"/>
    <n v="0"/>
    <n v="0"/>
    <n v="0"/>
    <m/>
    <m/>
    <m/>
    <m/>
    <m/>
    <n v="0"/>
    <n v="520119"/>
    <n v="174521"/>
    <x v="7"/>
    <m/>
    <m/>
    <m/>
    <m/>
    <m/>
    <m/>
    <m/>
    <s v="Conservation Area"/>
    <s v="CA13 Christchurch Road East Sheen"/>
  </r>
  <r>
    <s v="17/2769/FUL"/>
    <x v="0"/>
    <x v="0"/>
    <d v="2018-04-13T00:00:00"/>
    <d v="2021-04-13T00:00:00"/>
    <d v="2018-11-30T00:00:00"/>
    <m/>
    <x v="1"/>
    <x v="0"/>
    <m/>
    <s v="Demolition of existing detached dwelling and construction of a new 2 storey, 5 bedroom dwelling."/>
    <s v="54 Sandy Lane_x000d_Petersham_x000d_Richmond_x000d_TW10 7EL_x000d_"/>
    <s v="TW10 7EL"/>
    <m/>
    <m/>
    <n v="1"/>
    <m/>
    <m/>
    <m/>
    <m/>
    <m/>
    <n v="1"/>
    <m/>
    <m/>
    <m/>
    <m/>
    <m/>
    <n v="1"/>
    <m/>
    <m/>
    <m/>
    <n v="1"/>
    <n v="0"/>
    <n v="0"/>
    <n v="-1"/>
    <n v="0"/>
    <n v="1"/>
    <n v="0"/>
    <n v="0"/>
    <n v="0"/>
    <n v="0"/>
    <m/>
    <n v="0"/>
    <n v="0"/>
    <n v="0"/>
    <n v="0"/>
    <n v="0"/>
    <n v="0"/>
    <m/>
    <m/>
    <m/>
    <m/>
    <m/>
    <n v="0"/>
    <n v="517655"/>
    <n v="172610"/>
    <x v="15"/>
    <m/>
    <m/>
    <m/>
    <m/>
    <m/>
    <m/>
    <m/>
    <m/>
    <m/>
  </r>
  <r>
    <s v="17/2939/FUL"/>
    <x v="1"/>
    <x v="0"/>
    <d v="2017-11-09T00:00:00"/>
    <d v="2020-11-09T00:00:00"/>
    <d v="2018-09-04T00:00:00"/>
    <m/>
    <x v="1"/>
    <x v="0"/>
    <m/>
    <s v="Part conversion of rear shop unit and single storey side/rear extension to form a studio flat._x000d_"/>
    <s v="54 White Hart Lane_x000d_Barnes_x000d_London_x000d_SW13 0PZ_x000d_"/>
    <s v="SW13 0PZ"/>
    <m/>
    <m/>
    <m/>
    <m/>
    <m/>
    <m/>
    <m/>
    <m/>
    <n v="0"/>
    <m/>
    <n v="1"/>
    <m/>
    <m/>
    <m/>
    <m/>
    <m/>
    <m/>
    <m/>
    <n v="1"/>
    <n v="1"/>
    <n v="0"/>
    <n v="0"/>
    <n v="0"/>
    <n v="0"/>
    <n v="0"/>
    <n v="0"/>
    <n v="0"/>
    <n v="1"/>
    <m/>
    <n v="0"/>
    <n v="1"/>
    <n v="0"/>
    <n v="0"/>
    <n v="0"/>
    <n v="0"/>
    <m/>
    <m/>
    <m/>
    <m/>
    <m/>
    <n v="1"/>
    <n v="521310"/>
    <n v="175864"/>
    <x v="6"/>
    <m/>
    <m/>
    <m/>
    <s v="Mixed Use Area"/>
    <s v="White Hart lane"/>
    <m/>
    <m/>
    <m/>
    <m/>
  </r>
  <r>
    <s v="17/3667/FUL"/>
    <x v="0"/>
    <x v="0"/>
    <d v="2018-04-25T00:00:00"/>
    <d v="2021-04-25T00:00:00"/>
    <d v="2020-03-02T00:00:00"/>
    <m/>
    <x v="1"/>
    <x v="0"/>
    <m/>
    <s v="Demolition of existing staff accommodation caravans and storage barn and erection of replacement grooms accommodation."/>
    <s v="Manor Farm Riding School_x000d_Petersham Road_x000d_Petersham_x000d_Richmond_x000d_TW10 7AH_x000d_"/>
    <s v="TW10 7AH"/>
    <m/>
    <m/>
    <m/>
    <m/>
    <m/>
    <m/>
    <m/>
    <m/>
    <n v="0"/>
    <m/>
    <m/>
    <m/>
    <n v="1"/>
    <m/>
    <m/>
    <m/>
    <m/>
    <m/>
    <n v="1"/>
    <n v="0"/>
    <n v="0"/>
    <n v="1"/>
    <n v="0"/>
    <n v="0"/>
    <n v="0"/>
    <n v="0"/>
    <n v="0"/>
    <n v="1"/>
    <m/>
    <n v="0"/>
    <n v="1"/>
    <n v="0"/>
    <n v="0"/>
    <n v="0"/>
    <n v="0"/>
    <m/>
    <m/>
    <m/>
    <m/>
    <m/>
    <n v="1"/>
    <n v="517808"/>
    <n v="173353"/>
    <x v="15"/>
    <m/>
    <m/>
    <s v="Thames Policy Area"/>
    <m/>
    <m/>
    <m/>
    <s v="Petersham Lodge"/>
    <s v="Conservation Area"/>
    <s v="CA6 Petersham"/>
  </r>
  <r>
    <s v="17/4268/FUL"/>
    <x v="0"/>
    <x v="0"/>
    <d v="2018-05-09T00:00:00"/>
    <d v="2021-05-09T00:00:00"/>
    <d v="2019-03-01T00:00:00"/>
    <m/>
    <x v="1"/>
    <x v="0"/>
    <m/>
    <s v="Demolition of existing garages and construction of a new part subterranean split level part two storey dwelling house, new landscaping to surrounding amenity space."/>
    <s v="41 Lonsdale Road_x000d_Barnes_x000d_London_x000d__x000d_"/>
    <s v="SW13 9JR"/>
    <m/>
    <m/>
    <m/>
    <m/>
    <m/>
    <m/>
    <m/>
    <m/>
    <n v="0"/>
    <m/>
    <m/>
    <m/>
    <n v="1"/>
    <m/>
    <m/>
    <m/>
    <m/>
    <m/>
    <n v="1"/>
    <n v="0"/>
    <n v="0"/>
    <n v="1"/>
    <n v="0"/>
    <n v="0"/>
    <n v="0"/>
    <n v="0"/>
    <n v="0"/>
    <n v="1"/>
    <m/>
    <n v="0"/>
    <n v="1"/>
    <n v="0"/>
    <n v="0"/>
    <n v="0"/>
    <n v="0"/>
    <m/>
    <m/>
    <m/>
    <m/>
    <m/>
    <n v="1"/>
    <n v="522397"/>
    <n v="177790"/>
    <x v="17"/>
    <m/>
    <m/>
    <m/>
    <m/>
    <m/>
    <m/>
    <m/>
    <s v="Conservation Area"/>
    <s v="CA25 Castelnau"/>
  </r>
  <r>
    <s v="17/4303/FUL"/>
    <x v="4"/>
    <x v="0"/>
    <d v="2018-07-20T00:00:00"/>
    <d v="2021-07-20T00:00:00"/>
    <m/>
    <d v="2020-07-07T00:00:00"/>
    <x v="1"/>
    <x v="0"/>
    <m/>
    <s v="Erection of a second floor roof extension to create a. two-bed flat with roof terraces"/>
    <s v="16 Elmtree Road Teddington_x000a__x000a_"/>
    <s v="TW11 8ST"/>
    <m/>
    <m/>
    <m/>
    <m/>
    <m/>
    <m/>
    <m/>
    <m/>
    <n v="0"/>
    <m/>
    <m/>
    <n v="1"/>
    <m/>
    <m/>
    <m/>
    <m/>
    <m/>
    <m/>
    <n v="1"/>
    <n v="0"/>
    <n v="1"/>
    <n v="0"/>
    <n v="0"/>
    <n v="0"/>
    <n v="0"/>
    <n v="0"/>
    <n v="0"/>
    <n v="1"/>
    <m/>
    <n v="0"/>
    <n v="1"/>
    <n v="0"/>
    <n v="0"/>
    <n v="0"/>
    <n v="0"/>
    <m/>
    <m/>
    <m/>
    <m/>
    <m/>
    <n v="1"/>
    <n v="515426"/>
    <n v="171451"/>
    <x v="11"/>
    <m/>
    <m/>
    <m/>
    <m/>
    <m/>
    <m/>
    <m/>
    <m/>
    <m/>
  </r>
  <r>
    <s v="17/4368/FUL"/>
    <x v="3"/>
    <x v="0"/>
    <d v="2019-03-06T00:00:00"/>
    <d v="2022-03-07T00:00:00"/>
    <d v="2019-09-02T00:00:00"/>
    <m/>
    <x v="1"/>
    <x v="0"/>
    <m/>
    <s v="Alterations to no. 117 to include demolition of existing two storey side extension, erection of a single storey rear extension and front porch.  New cycle store to rear. Subdivison of garden plot and demolition of existing garage at no. 117 to facilitate"/>
    <s v="117 Rectory Grove_x000d_Hampton_x000d_TW12 1EG"/>
    <s v="TW12 1EG"/>
    <m/>
    <m/>
    <m/>
    <n v="1"/>
    <m/>
    <m/>
    <m/>
    <m/>
    <n v="1"/>
    <m/>
    <m/>
    <n v="1"/>
    <n v="1"/>
    <m/>
    <m/>
    <m/>
    <m/>
    <m/>
    <n v="2"/>
    <n v="0"/>
    <n v="1"/>
    <n v="1"/>
    <n v="-1"/>
    <n v="0"/>
    <n v="0"/>
    <n v="0"/>
    <n v="0"/>
    <n v="1"/>
    <m/>
    <n v="0"/>
    <n v="1"/>
    <n v="0"/>
    <n v="0"/>
    <n v="0"/>
    <n v="0"/>
    <m/>
    <m/>
    <m/>
    <m/>
    <m/>
    <n v="1"/>
    <n v="512731"/>
    <n v="171617"/>
    <x v="16"/>
    <m/>
    <m/>
    <m/>
    <m/>
    <m/>
    <m/>
    <m/>
    <m/>
    <m/>
  </r>
  <r>
    <s v="17/4517/VRC"/>
    <x v="0"/>
    <x v="0"/>
    <d v="2018-02-26T00:00:00"/>
    <d v="2021-02-26T00:00:00"/>
    <d v="2019-03-01T00:00:00"/>
    <d v="2020-08-13T00:00:00"/>
    <x v="1"/>
    <x v="0"/>
    <m/>
    <s v="Variation of condition U30401 (Approved drawings) of planning permission 17/2624/FUL (Demolition of the existing four bedroom house and erection of two semi-detached, four bedroom townhouses incorporating basements) to allow for internal alterations to la"/>
    <s v="66 Derby Road_x000d_East Sheen_x000d_London_x000d_SW14 7DP_x000d_"/>
    <s v="SW14 7DP"/>
    <m/>
    <m/>
    <m/>
    <n v="1"/>
    <m/>
    <m/>
    <m/>
    <m/>
    <n v="1"/>
    <m/>
    <m/>
    <m/>
    <m/>
    <m/>
    <n v="2"/>
    <m/>
    <m/>
    <m/>
    <n v="2"/>
    <n v="0"/>
    <n v="0"/>
    <n v="0"/>
    <n v="-1"/>
    <n v="2"/>
    <n v="0"/>
    <n v="0"/>
    <n v="0"/>
    <n v="1"/>
    <m/>
    <n v="0"/>
    <n v="1"/>
    <n v="0"/>
    <n v="0"/>
    <n v="0"/>
    <n v="0"/>
    <m/>
    <m/>
    <m/>
    <m/>
    <m/>
    <n v="1"/>
    <n v="519786"/>
    <n v="175060"/>
    <x v="7"/>
    <m/>
    <m/>
    <m/>
    <m/>
    <m/>
    <m/>
    <m/>
    <m/>
    <m/>
  </r>
  <r>
    <s v="18/0111/FUL"/>
    <x v="0"/>
    <x v="0"/>
    <d v="2018-06-27T00:00:00"/>
    <d v="2021-06-27T00:00:00"/>
    <d v="2019-06-15T00:00:00"/>
    <d v="2020-07-01T00:00:00"/>
    <x v="1"/>
    <x v="0"/>
    <m/>
    <s v="Demolition of the existing two-storey side extension to allow for the provision of a detached two-storey (3 bedroom) dwellinghouse; subdivision of land;  associated car parking, cycle storage, refuse and recycling storage, hard and soft landscaping to bot"/>
    <s v="1 Hospital Bridge Road_x000d_Twickenham_x000d_TW2 5UL"/>
    <s v="TW2 5UL"/>
    <m/>
    <m/>
    <m/>
    <m/>
    <m/>
    <m/>
    <m/>
    <m/>
    <n v="0"/>
    <m/>
    <m/>
    <m/>
    <n v="1"/>
    <m/>
    <m/>
    <m/>
    <m/>
    <m/>
    <n v="1"/>
    <n v="0"/>
    <n v="0"/>
    <n v="1"/>
    <n v="0"/>
    <n v="0"/>
    <n v="0"/>
    <n v="0"/>
    <n v="0"/>
    <n v="1"/>
    <m/>
    <n v="0"/>
    <n v="1"/>
    <n v="0"/>
    <n v="0"/>
    <n v="0"/>
    <n v="0"/>
    <m/>
    <m/>
    <m/>
    <m/>
    <m/>
    <n v="1"/>
    <n v="513875"/>
    <n v="172459"/>
    <x v="2"/>
    <m/>
    <m/>
    <m/>
    <m/>
    <m/>
    <m/>
    <m/>
    <m/>
    <m/>
  </r>
  <r>
    <s v="18/0216/FUL"/>
    <x v="2"/>
    <x v="0"/>
    <d v="2018-12-05T00:00:00"/>
    <d v="2021-12-05T00:00:00"/>
    <d v="2019-11-11T00:00:00"/>
    <m/>
    <x v="1"/>
    <x v="0"/>
    <m/>
    <s v="The division of the existing single dwelling on the upper floors into two dwellings. Rear dormer and roof lights to the front roofslope."/>
    <s v="34 Colston Road_x000d_East Sheen_x000d_London_x000d_SW14 7PG"/>
    <s v="SW14 7PG"/>
    <m/>
    <m/>
    <m/>
    <n v="1"/>
    <m/>
    <m/>
    <m/>
    <m/>
    <n v="1"/>
    <m/>
    <n v="1"/>
    <m/>
    <n v="1"/>
    <m/>
    <m/>
    <m/>
    <m/>
    <m/>
    <n v="2"/>
    <n v="1"/>
    <n v="0"/>
    <n v="1"/>
    <n v="-1"/>
    <n v="0"/>
    <n v="0"/>
    <n v="0"/>
    <n v="0"/>
    <n v="1"/>
    <m/>
    <n v="0"/>
    <n v="1"/>
    <n v="0"/>
    <n v="0"/>
    <n v="0"/>
    <n v="0"/>
    <m/>
    <m/>
    <m/>
    <m/>
    <m/>
    <n v="1"/>
    <n v="520283"/>
    <n v="175305"/>
    <x v="7"/>
    <m/>
    <s v="East Sheen"/>
    <m/>
    <m/>
    <m/>
    <m/>
    <m/>
    <m/>
    <m/>
  </r>
  <r>
    <s v="18/0282/FUL"/>
    <x v="0"/>
    <x v="0"/>
    <d v="2018-04-03T00:00:00"/>
    <d v="2021-04-03T00:00:00"/>
    <d v="2019-03-01T00:00:00"/>
    <m/>
    <x v="1"/>
    <x v="0"/>
    <m/>
    <s v="Demolition of the existing 2 storey residential building and single storey garages and erection of a pair of semi-detached, 3 storey (plus basement) 4 bedroom dwellings with associated private gardens and off street parking.  Creation of a new crossover a"/>
    <s v="Upton House_x000d_19 - 20 Queens Ride_x000d_Barnes_x000d_London_x000d_SW13 0HX_x000d_"/>
    <s v="SW13 0HX"/>
    <m/>
    <m/>
    <n v="2"/>
    <m/>
    <m/>
    <m/>
    <m/>
    <m/>
    <n v="2"/>
    <m/>
    <m/>
    <m/>
    <m/>
    <n v="2"/>
    <m/>
    <m/>
    <m/>
    <m/>
    <n v="2"/>
    <n v="0"/>
    <n v="0"/>
    <n v="-2"/>
    <n v="2"/>
    <n v="0"/>
    <n v="0"/>
    <n v="0"/>
    <n v="0"/>
    <n v="0"/>
    <m/>
    <n v="0"/>
    <n v="0"/>
    <n v="0"/>
    <n v="0"/>
    <n v="0"/>
    <n v="0"/>
    <m/>
    <m/>
    <m/>
    <m/>
    <m/>
    <n v="0"/>
    <n v="522357"/>
    <n v="175528"/>
    <x v="6"/>
    <m/>
    <m/>
    <m/>
    <m/>
    <m/>
    <m/>
    <m/>
    <m/>
    <m/>
  </r>
  <r>
    <s v="18/0449/FUL"/>
    <x v="2"/>
    <x v="0"/>
    <d v="2018-09-07T00:00:00"/>
    <d v="2021-09-07T00:00:00"/>
    <d v="2018-11-01T00:00:00"/>
    <m/>
    <x v="1"/>
    <x v="0"/>
    <m/>
    <s v="Replacement window on first floor front elevation to facilitate the conversion of existing 2 bed maisonette into 2 x 1bedroom flats."/>
    <s v="1 North Cottage_x000d_Hampton Court Road_x000d_Hampton_x000d_East Molesey_x000d_KT8 9BZ_x000d_"/>
    <s v="KT8 9BZ"/>
    <m/>
    <n v="1"/>
    <m/>
    <m/>
    <m/>
    <m/>
    <m/>
    <m/>
    <n v="1"/>
    <m/>
    <n v="2"/>
    <m/>
    <m/>
    <m/>
    <m/>
    <m/>
    <m/>
    <m/>
    <n v="2"/>
    <n v="2"/>
    <n v="-1"/>
    <n v="0"/>
    <n v="0"/>
    <n v="0"/>
    <n v="0"/>
    <n v="0"/>
    <n v="0"/>
    <n v="1"/>
    <m/>
    <n v="0"/>
    <n v="1"/>
    <n v="0"/>
    <n v="0"/>
    <n v="0"/>
    <n v="0"/>
    <m/>
    <m/>
    <m/>
    <m/>
    <m/>
    <n v="1"/>
    <n v="515991"/>
    <n v="168830"/>
    <x v="8"/>
    <m/>
    <m/>
    <m/>
    <m/>
    <m/>
    <m/>
    <m/>
    <s v="Conservation Area"/>
    <s v="CA11 Hampton Court Green"/>
  </r>
  <r>
    <s v="18/0692/FUL"/>
    <x v="0"/>
    <x v="0"/>
    <d v="2018-08-17T00:00:00"/>
    <d v="2021-08-17T00:00:00"/>
    <d v="2019-08-12T00:00:00"/>
    <m/>
    <x v="1"/>
    <x v="0"/>
    <m/>
    <s v="Part two-storey rear extensions with two rear gable roofs; part raising of the ridge height; removal of rear chimney; new windows (including removal) and door to the side (south elevation) at ground and first floor level; removal of side windows at ground"/>
    <s v="83 Wensleydale Road_x000d_Hampton_x000d_TW12 2LP"/>
    <s v="TW12 2LP"/>
    <m/>
    <m/>
    <m/>
    <m/>
    <m/>
    <m/>
    <m/>
    <m/>
    <n v="0"/>
    <m/>
    <m/>
    <m/>
    <m/>
    <n v="1"/>
    <m/>
    <m/>
    <m/>
    <m/>
    <n v="1"/>
    <n v="0"/>
    <n v="0"/>
    <n v="0"/>
    <n v="1"/>
    <n v="0"/>
    <n v="0"/>
    <n v="0"/>
    <n v="0"/>
    <n v="1"/>
    <m/>
    <n v="0"/>
    <n v="1"/>
    <n v="0"/>
    <n v="0"/>
    <n v="0"/>
    <n v="0"/>
    <m/>
    <m/>
    <m/>
    <m/>
    <m/>
    <n v="1"/>
    <n v="513446"/>
    <n v="170353"/>
    <x v="8"/>
    <s v="Garden Land"/>
    <m/>
    <m/>
    <m/>
    <m/>
    <m/>
    <m/>
    <m/>
    <m/>
  </r>
  <r>
    <s v="18/0771/FUL"/>
    <x v="0"/>
    <x v="0"/>
    <d v="2018-06-21T00:00:00"/>
    <d v="2021-06-21T00:00:00"/>
    <d v="2018-12-01T00:00:00"/>
    <m/>
    <x v="1"/>
    <x v="0"/>
    <m/>
    <s v="Erection of a 1B2P bungalow with associated hard and soft landscaping and cycle and refuse store.  Creation of dropped kerb to faclitate provision of 1 no. parking space."/>
    <s v="Land Adjacent To_x000d_94 Pigeon Lane_x000d_Hampton_x000d_TW12 1AF_x000d_"/>
    <s v="TW12 1AF"/>
    <m/>
    <m/>
    <m/>
    <m/>
    <m/>
    <m/>
    <m/>
    <m/>
    <n v="0"/>
    <m/>
    <n v="1"/>
    <m/>
    <m/>
    <m/>
    <m/>
    <m/>
    <m/>
    <m/>
    <n v="1"/>
    <n v="1"/>
    <n v="0"/>
    <n v="0"/>
    <n v="0"/>
    <n v="0"/>
    <n v="0"/>
    <n v="0"/>
    <n v="0"/>
    <n v="1"/>
    <m/>
    <n v="0"/>
    <n v="1"/>
    <n v="0"/>
    <n v="0"/>
    <n v="0"/>
    <n v="0"/>
    <m/>
    <m/>
    <m/>
    <m/>
    <m/>
    <n v="1"/>
    <n v="513452"/>
    <n v="171614"/>
    <x v="16"/>
    <m/>
    <m/>
    <m/>
    <m/>
    <m/>
    <m/>
    <m/>
    <m/>
    <m/>
  </r>
  <r>
    <s v="18/0929/FUL"/>
    <x v="3"/>
    <x v="0"/>
    <d v="2018-11-07T00:00:00"/>
    <d v="2021-11-07T00:00:00"/>
    <d v="2018-12-03T00:00:00"/>
    <d v="2020-06-12T00:00:00"/>
    <x v="1"/>
    <x v="0"/>
    <m/>
    <s v="Replacement shopfront and new entrance door.  New doors/windows to the side and rear elevation of the existing rear extension.   Change of use of the front part of ground floor level from restaurant (Class A3) to retail (Class A1).  First floor rear exten"/>
    <s v="195 High Street_x000d_Hampton Hill_x000d_TW12 1NL"/>
    <s v="TW12 1NL"/>
    <n v="3"/>
    <m/>
    <m/>
    <m/>
    <m/>
    <m/>
    <m/>
    <m/>
    <n v="3"/>
    <m/>
    <m/>
    <n v="3"/>
    <m/>
    <m/>
    <m/>
    <m/>
    <m/>
    <m/>
    <n v="3"/>
    <n v="-3"/>
    <n v="3"/>
    <n v="0"/>
    <n v="0"/>
    <n v="0"/>
    <n v="0"/>
    <n v="0"/>
    <n v="0"/>
    <n v="0"/>
    <m/>
    <n v="0"/>
    <n v="0"/>
    <n v="0"/>
    <n v="0"/>
    <n v="0"/>
    <n v="0"/>
    <m/>
    <m/>
    <m/>
    <m/>
    <m/>
    <n v="0"/>
    <n v="514485"/>
    <n v="171271"/>
    <x v="11"/>
    <m/>
    <m/>
    <m/>
    <s v="Mixed Use Area"/>
    <s v="High Street"/>
    <m/>
    <m/>
    <m/>
    <m/>
  </r>
  <r>
    <s v="18/0946/FUL"/>
    <x v="1"/>
    <x v="0"/>
    <d v="2018-06-04T00:00:00"/>
    <d v="2021-06-04T00:00:00"/>
    <d v="2020-01-13T00:00:00"/>
    <m/>
    <x v="1"/>
    <x v="0"/>
    <m/>
    <s v="Conversion of Second Floor Flat into 2 no. x 1-bedroom Flats"/>
    <s v="Second Floor Flat _x000d_302 Sandycombe Road_x000d_Richmond_x000d_TW9 3NG"/>
    <s v="TW9 3NG"/>
    <m/>
    <n v="1"/>
    <m/>
    <m/>
    <m/>
    <m/>
    <m/>
    <m/>
    <n v="1"/>
    <m/>
    <n v="2"/>
    <m/>
    <m/>
    <m/>
    <m/>
    <m/>
    <m/>
    <m/>
    <n v="2"/>
    <n v="2"/>
    <n v="-1"/>
    <n v="0"/>
    <n v="0"/>
    <n v="0"/>
    <n v="0"/>
    <n v="0"/>
    <n v="0"/>
    <n v="1"/>
    <m/>
    <n v="0"/>
    <n v="1"/>
    <n v="0"/>
    <n v="0"/>
    <n v="0"/>
    <n v="0"/>
    <m/>
    <m/>
    <m/>
    <m/>
    <m/>
    <n v="1"/>
    <n v="519061"/>
    <n v="176659"/>
    <x v="9"/>
    <m/>
    <m/>
    <m/>
    <m/>
    <m/>
    <m/>
    <m/>
    <s v="Conservation Area"/>
    <s v="CA15 Kew Gardens Kew"/>
  </r>
  <r>
    <s v="18/1619/FUL"/>
    <x v="4"/>
    <x v="0"/>
    <d v="2019-05-28T00:00:00"/>
    <d v="2022-05-28T00:00:00"/>
    <d v="2019-08-07T00:00:00"/>
    <d v="2020-05-12T00:00:00"/>
    <x v="1"/>
    <x v="0"/>
    <m/>
    <s v="Erection of rear roof extension with roof lights to front roof slope and conversion of first floor flat and new roof space into two self-contained flats."/>
    <s v="135A Sheen Lane_x000d_East Sheen_x000d_London_x000d_SW14 8AE"/>
    <s v="SW14 8AE"/>
    <m/>
    <m/>
    <m/>
    <m/>
    <m/>
    <m/>
    <m/>
    <m/>
    <n v="0"/>
    <m/>
    <n v="1"/>
    <m/>
    <m/>
    <m/>
    <m/>
    <m/>
    <m/>
    <m/>
    <n v="1"/>
    <n v="1"/>
    <n v="0"/>
    <n v="0"/>
    <n v="0"/>
    <n v="0"/>
    <n v="0"/>
    <n v="0"/>
    <n v="0"/>
    <n v="1"/>
    <m/>
    <n v="0"/>
    <n v="1"/>
    <n v="0"/>
    <n v="0"/>
    <n v="0"/>
    <n v="0"/>
    <m/>
    <m/>
    <m/>
    <m/>
    <m/>
    <n v="1"/>
    <n v="520508"/>
    <n v="175448"/>
    <x v="7"/>
    <m/>
    <s v="East Sheen"/>
    <m/>
    <m/>
    <m/>
    <m/>
    <m/>
    <s v="Conservation Area"/>
    <s v="CA70 Sheen Lane Mortlake"/>
  </r>
  <r>
    <s v="18/1767/FUL"/>
    <x v="1"/>
    <x v="0"/>
    <d v="2019-01-11T00:00:00"/>
    <d v="2022-01-11T00:00:00"/>
    <d v="2019-03-01T00:00:00"/>
    <d v="2020-05-11T00:00:00"/>
    <x v="1"/>
    <x v="0"/>
    <m/>
    <s v="Alterations to the existing shopfront and reduction to ground floor floorspace to facilitate the re-provision of a Class A2 use at ground floor level.  _x000d_Change of use of existing A2 to C3 (Residential) Use at part ground level and first floor level.  Repl"/>
    <s v="73 High Street_x000d_Hampton Hill_x000d_TW12 1NH_x000d_"/>
    <s v="TW12 1NH"/>
    <m/>
    <m/>
    <m/>
    <m/>
    <m/>
    <m/>
    <m/>
    <m/>
    <n v="0"/>
    <m/>
    <m/>
    <n v="2"/>
    <m/>
    <m/>
    <m/>
    <m/>
    <m/>
    <m/>
    <n v="2"/>
    <n v="0"/>
    <n v="2"/>
    <n v="0"/>
    <n v="0"/>
    <n v="0"/>
    <n v="0"/>
    <n v="0"/>
    <n v="0"/>
    <n v="2"/>
    <m/>
    <n v="0"/>
    <n v="2"/>
    <n v="0"/>
    <n v="0"/>
    <n v="0"/>
    <n v="0"/>
    <m/>
    <m/>
    <m/>
    <m/>
    <m/>
    <n v="2"/>
    <n v="514273"/>
    <n v="170844"/>
    <x v="11"/>
    <m/>
    <m/>
    <m/>
    <s v="Mixed Use Area"/>
    <s v="High Street"/>
    <m/>
    <m/>
    <s v="Conservation Area"/>
    <s v="CA38 High Street Hampton Hill"/>
  </r>
  <r>
    <s v="18/1808/FUL"/>
    <x v="0"/>
    <x v="0"/>
    <d v="2018-11-19T00:00:00"/>
    <d v="2021-11-19T00:00:00"/>
    <d v="2019-10-16T00:00:00"/>
    <m/>
    <x v="1"/>
    <x v="0"/>
    <m/>
    <s v="Demolition of existing building in Use Class B8 (storage and distribution) and change of use of land to C3 (residential) use.  Erection of a part two storey part single storey building to provide 4 bed (4B8P) dwellinghouse with associated parking, hard an"/>
    <s v="12 - 14 Church Lane Teddington_x000a__x000a_"/>
    <s v="TW11 8AP"/>
    <m/>
    <m/>
    <m/>
    <m/>
    <m/>
    <m/>
    <m/>
    <m/>
    <n v="0"/>
    <m/>
    <m/>
    <m/>
    <m/>
    <n v="1"/>
    <m/>
    <m/>
    <m/>
    <m/>
    <n v="1"/>
    <n v="0"/>
    <n v="0"/>
    <n v="0"/>
    <n v="1"/>
    <n v="0"/>
    <n v="0"/>
    <n v="0"/>
    <n v="0"/>
    <n v="1"/>
    <m/>
    <n v="0"/>
    <n v="1"/>
    <n v="0"/>
    <n v="0"/>
    <n v="0"/>
    <n v="0"/>
    <m/>
    <m/>
    <m/>
    <m/>
    <m/>
    <n v="1"/>
    <n v="515803"/>
    <n v="171071"/>
    <x v="0"/>
    <m/>
    <m/>
    <m/>
    <m/>
    <m/>
    <m/>
    <m/>
    <m/>
    <m/>
  </r>
  <r>
    <s v="18/2114/FUL"/>
    <x v="1"/>
    <x v="0"/>
    <d v="2018-12-20T00:00:00"/>
    <d v="2021-12-20T00:00:00"/>
    <d v="2019-02-01T00:00:00"/>
    <d v="2020-05-04T00:00:00"/>
    <x v="1"/>
    <x v="0"/>
    <m/>
    <s v="Two-storey rear extension, rear roof extension and conversion of the rear part of the ground floor shop; in connection with the use of the property as a ground floor retail unit, 1x two-bedroom flat and 2 x one-bedroom flats."/>
    <s v="7 Barnes High Street_x000d_Barnes_x000d_London_x000d_SW13 9LW"/>
    <s v="SW13 9LW"/>
    <n v="2"/>
    <m/>
    <m/>
    <m/>
    <m/>
    <m/>
    <m/>
    <m/>
    <n v="2"/>
    <m/>
    <n v="2"/>
    <n v="1"/>
    <m/>
    <m/>
    <m/>
    <m/>
    <m/>
    <m/>
    <n v="3"/>
    <n v="0"/>
    <n v="1"/>
    <n v="0"/>
    <n v="0"/>
    <n v="0"/>
    <n v="0"/>
    <n v="0"/>
    <n v="0"/>
    <n v="1"/>
    <m/>
    <n v="0"/>
    <n v="1"/>
    <n v="0"/>
    <n v="0"/>
    <n v="0"/>
    <n v="0"/>
    <m/>
    <m/>
    <m/>
    <m/>
    <m/>
    <n v="1"/>
    <n v="521729"/>
    <n v="176389"/>
    <x v="6"/>
    <m/>
    <m/>
    <m/>
    <s v="Mixed Use Area"/>
    <s v="High Street"/>
    <m/>
    <m/>
    <s v="Conservation Area"/>
    <s v="CA1 Barnes Green"/>
  </r>
  <r>
    <s v="18/2235/VRC"/>
    <x v="1"/>
    <x v="0"/>
    <d v="2018-09-25T00:00:00"/>
    <d v="2021-09-25T00:00:00"/>
    <d v="2019-10-01T00:00:00"/>
    <m/>
    <x v="1"/>
    <x v="0"/>
    <m/>
    <s v="Removal of Condition U35386 (Residential-Ancillary Accommodation) and vary condition U35387 (Mixed use A4/C1) of planning permission 17/2301/FUL to exclude the reference to the stable block."/>
    <s v="Jolly Coopers _x000d_16 High Street_x000d_Hampton_x000d_TW12 2SJ"/>
    <s v="TW12 2SJ"/>
    <m/>
    <m/>
    <n v="1"/>
    <m/>
    <m/>
    <m/>
    <m/>
    <m/>
    <n v="1"/>
    <m/>
    <m/>
    <n v="1"/>
    <m/>
    <m/>
    <m/>
    <m/>
    <m/>
    <m/>
    <n v="1"/>
    <n v="0"/>
    <n v="1"/>
    <n v="-1"/>
    <n v="0"/>
    <n v="0"/>
    <n v="0"/>
    <n v="0"/>
    <n v="0"/>
    <n v="0"/>
    <m/>
    <n v="0"/>
    <n v="0"/>
    <n v="0"/>
    <n v="0"/>
    <n v="0"/>
    <n v="0"/>
    <m/>
    <m/>
    <m/>
    <m/>
    <m/>
    <n v="0"/>
    <n v="514005"/>
    <n v="169556"/>
    <x v="8"/>
    <m/>
    <m/>
    <m/>
    <s v="Mixed Use Area"/>
    <s v="Thames Street"/>
    <m/>
    <m/>
    <s v="Conservation Area"/>
    <s v="CA12 Hampton Village"/>
  </r>
  <r>
    <s v="18/2322/FUL"/>
    <x v="1"/>
    <x v="0"/>
    <d v="2018-11-13T00:00:00"/>
    <d v="2022-05-30T00:00:00"/>
    <d v="2020-01-13T00:00:00"/>
    <m/>
    <x v="1"/>
    <x v="0"/>
    <m/>
    <s v="Demolition of existing single-storey rear lean-to extension and formation of new external patio and other external alterations to elevations.  Change of use of rear part of ground floor level from A1(retail) to C3 (residential) to faciliate its conversion"/>
    <s v="300 - 302 Sandycombe Road_x000d_Richmond_x000d_TW9 3NG_x000d_"/>
    <s v="TW9 3NG"/>
    <m/>
    <m/>
    <m/>
    <m/>
    <m/>
    <m/>
    <m/>
    <m/>
    <n v="0"/>
    <m/>
    <m/>
    <n v="1"/>
    <m/>
    <m/>
    <m/>
    <m/>
    <m/>
    <m/>
    <n v="1"/>
    <n v="0"/>
    <n v="1"/>
    <n v="0"/>
    <n v="0"/>
    <n v="0"/>
    <n v="0"/>
    <n v="0"/>
    <n v="0"/>
    <n v="1"/>
    <m/>
    <n v="0"/>
    <n v="1"/>
    <n v="0"/>
    <n v="0"/>
    <n v="0"/>
    <n v="0"/>
    <m/>
    <m/>
    <m/>
    <m/>
    <m/>
    <n v="1"/>
    <n v="519061"/>
    <n v="176662"/>
    <x v="9"/>
    <m/>
    <m/>
    <m/>
    <m/>
    <m/>
    <m/>
    <m/>
    <s v="Conservation Area"/>
    <s v="CA15 Kew Gardens Kew"/>
  </r>
  <r>
    <s v="18/2494/FUL"/>
    <x v="0"/>
    <x v="0"/>
    <d v="2019-03-22T00:00:00"/>
    <d v="2022-03-22T00:00:00"/>
    <d v="2020-01-29T00:00:00"/>
    <m/>
    <x v="1"/>
    <x v="0"/>
    <m/>
    <s v="Demolition of an existing dwelling and erection of 2no. two-storey three-bedroom dwelling houses with roof space accommodation  and associated landscaping. Replacement of front boundary wall. Removal of crossover and closure of vehicular access."/>
    <s v="4 West Temple Sheen_x000d_East Sheen_x000d_London_x000d_SW14 7RT"/>
    <s v="SW14 7RT"/>
    <m/>
    <n v="1"/>
    <m/>
    <m/>
    <m/>
    <m/>
    <m/>
    <m/>
    <n v="1"/>
    <m/>
    <m/>
    <m/>
    <n v="2"/>
    <m/>
    <m/>
    <m/>
    <m/>
    <m/>
    <n v="2"/>
    <n v="0"/>
    <n v="-1"/>
    <n v="2"/>
    <n v="0"/>
    <n v="0"/>
    <n v="0"/>
    <n v="0"/>
    <n v="0"/>
    <n v="1"/>
    <m/>
    <n v="0"/>
    <n v="1"/>
    <n v="0"/>
    <n v="0"/>
    <n v="0"/>
    <n v="0"/>
    <m/>
    <m/>
    <m/>
    <m/>
    <m/>
    <n v="1"/>
    <n v="519884"/>
    <n v="175023"/>
    <x v="7"/>
    <s v="Garden Land"/>
    <m/>
    <m/>
    <m/>
    <m/>
    <m/>
    <m/>
    <m/>
    <m/>
  </r>
  <r>
    <s v="18/2928/FUL"/>
    <x v="1"/>
    <x v="0"/>
    <d v="2019-03-08T00:00:00"/>
    <d v="2022-03-08T00:00:00"/>
    <d v="2019-03-29T00:00:00"/>
    <m/>
    <x v="1"/>
    <x v="0"/>
    <m/>
    <s v="Change of use of ancillary A3 accommodation on 1st and 2nd floors to create 1No. 3bed self-contained flat (C3 use) and installation of a rear door and railings at first floor level."/>
    <s v="20 - 22 High Street_x000d_Teddington_x000d_TW11 8EW_x000d_"/>
    <s v="TW11 8EW"/>
    <m/>
    <m/>
    <m/>
    <m/>
    <m/>
    <m/>
    <m/>
    <m/>
    <n v="0"/>
    <m/>
    <m/>
    <m/>
    <n v="1"/>
    <m/>
    <m/>
    <m/>
    <m/>
    <m/>
    <n v="1"/>
    <n v="0"/>
    <n v="0"/>
    <n v="1"/>
    <n v="0"/>
    <n v="0"/>
    <n v="0"/>
    <n v="0"/>
    <n v="0"/>
    <n v="1"/>
    <m/>
    <n v="0"/>
    <n v="1"/>
    <n v="0"/>
    <n v="0"/>
    <n v="0"/>
    <n v="0"/>
    <m/>
    <m/>
    <m/>
    <m/>
    <m/>
    <n v="1"/>
    <n v="516022"/>
    <n v="171099"/>
    <x v="0"/>
    <m/>
    <s v="Teddington"/>
    <m/>
    <m/>
    <m/>
    <m/>
    <m/>
    <s v="Conservation Area"/>
    <s v="CA37 High Street Teddington"/>
  </r>
  <r>
    <s v="18/3515/FUL"/>
    <x v="2"/>
    <x v="0"/>
    <d v="2019-02-18T00:00:00"/>
    <d v="2022-02-18T00:00:00"/>
    <d v="2019-10-01T00:00:00"/>
    <d v="2020-08-13T00:00:00"/>
    <x v="1"/>
    <x v="0"/>
    <m/>
    <s v="Conversion of first and second floor flat and construction of rear dormer roof extension to provide 4no. (3 x 1B1P and 1 x 2B3P) residential dwellings and other alterations."/>
    <s v="311 Upper Richmond Road West_x000d_East Sheen_x000d_London_x000d_SW14 8QR_x000d_"/>
    <s v="SW14 8QR"/>
    <m/>
    <n v="2"/>
    <m/>
    <m/>
    <m/>
    <m/>
    <m/>
    <m/>
    <n v="2"/>
    <m/>
    <n v="3"/>
    <n v="1"/>
    <m/>
    <m/>
    <m/>
    <m/>
    <m/>
    <m/>
    <n v="4"/>
    <n v="3"/>
    <n v="-1"/>
    <n v="0"/>
    <n v="0"/>
    <n v="0"/>
    <n v="0"/>
    <n v="0"/>
    <n v="0"/>
    <n v="2"/>
    <m/>
    <n v="0"/>
    <n v="2"/>
    <n v="0"/>
    <n v="0"/>
    <n v="0"/>
    <n v="0"/>
    <m/>
    <m/>
    <m/>
    <m/>
    <m/>
    <n v="2"/>
    <n v="520700"/>
    <n v="175411"/>
    <x v="7"/>
    <m/>
    <s v="East Sheen"/>
    <m/>
    <m/>
    <m/>
    <m/>
    <m/>
    <m/>
    <m/>
  </r>
  <r>
    <s v="18/3768/FUL"/>
    <x v="1"/>
    <x v="0"/>
    <d v="2019-03-26T00:00:00"/>
    <d v="2022-03-26T00:00:00"/>
    <d v="2020-01-13T00:00:00"/>
    <m/>
    <x v="1"/>
    <x v="0"/>
    <m/>
    <s v="Demolition of two existing workshop buildings. Change of use from current vacant B1 use to C3. Construction of 2No. semi-detached 5-bedroom family houses consisting of 2 storeys plus loft space with integral garaging.  Associated hard &amp; soft landscaping t"/>
    <s v="58 Oldfield Road_x000d_Hampton_x000d_TW12 2AE"/>
    <s v="TW12 2AE"/>
    <m/>
    <m/>
    <m/>
    <m/>
    <m/>
    <m/>
    <m/>
    <m/>
    <n v="0"/>
    <m/>
    <m/>
    <m/>
    <m/>
    <m/>
    <n v="2"/>
    <m/>
    <m/>
    <m/>
    <n v="2"/>
    <n v="0"/>
    <n v="0"/>
    <n v="0"/>
    <n v="0"/>
    <n v="2"/>
    <n v="0"/>
    <n v="0"/>
    <n v="0"/>
    <n v="2"/>
    <m/>
    <n v="0"/>
    <n v="2"/>
    <n v="0"/>
    <n v="0"/>
    <n v="0"/>
    <n v="0"/>
    <m/>
    <m/>
    <m/>
    <m/>
    <m/>
    <n v="2"/>
    <n v="513264"/>
    <n v="169738"/>
    <x v="8"/>
    <m/>
    <m/>
    <m/>
    <m/>
    <m/>
    <m/>
    <m/>
    <m/>
    <m/>
  </r>
  <r>
    <s v="18/3804/FUL"/>
    <x v="0"/>
    <x v="0"/>
    <d v="2019-05-14T00:00:00"/>
    <d v="2022-05-14T00:00:00"/>
    <d v="2019-10-17T00:00:00"/>
    <m/>
    <x v="1"/>
    <x v="0"/>
    <m/>
    <s v="Demolition of buildings on site and construction of a 3 storey building fronting Station Road, comprising 254sqm ground floor light industrial use (B1c Use Class) with 7 apartments above (5No. 2B4P flats and 2No. 1B2P flats) and a 2 storey building fronti"/>
    <s v="139 - 143 Station Road_x000d_Hampton_x000d_TW12 2AL_x000d_"/>
    <s v="TW12 2AL"/>
    <m/>
    <m/>
    <m/>
    <m/>
    <m/>
    <m/>
    <m/>
    <m/>
    <n v="0"/>
    <m/>
    <n v="2"/>
    <n v="7"/>
    <m/>
    <m/>
    <m/>
    <m/>
    <m/>
    <m/>
    <n v="9"/>
    <n v="2"/>
    <n v="7"/>
    <n v="0"/>
    <n v="0"/>
    <n v="0"/>
    <n v="0"/>
    <n v="0"/>
    <n v="0"/>
    <n v="9"/>
    <m/>
    <n v="0"/>
    <n v="9"/>
    <n v="0"/>
    <n v="0"/>
    <n v="0"/>
    <n v="0"/>
    <m/>
    <m/>
    <m/>
    <m/>
    <m/>
    <n v="9"/>
    <n v="513285"/>
    <n v="169757"/>
    <x v="8"/>
    <m/>
    <m/>
    <m/>
    <s v="Mixed Use Area"/>
    <s v="Station Road West"/>
    <m/>
    <m/>
    <m/>
    <m/>
  </r>
  <r>
    <s v="18/3815/GPD15"/>
    <x v="1"/>
    <x v="1"/>
    <d v="2019-01-18T00:00:00"/>
    <d v="2022-01-18T00:00:00"/>
    <d v="2019-11-15T00:00:00"/>
    <m/>
    <x v="1"/>
    <x v="0"/>
    <m/>
    <s v="Change of use of two detached buildings and the associated curtilage from light industrial use (Class B1(c)) to residential use (Class C3) to provide 7 x 1 bedroom units and 1 x 2 bedroom unit."/>
    <s v="42 - 42A High Street_x000d_Hampton Wick_x000d_Kingston Upon Thames_x000d_KT1 4DB_x000d_"/>
    <s v="KT1 4DB"/>
    <m/>
    <m/>
    <m/>
    <m/>
    <m/>
    <m/>
    <m/>
    <m/>
    <n v="0"/>
    <m/>
    <n v="7"/>
    <n v="1"/>
    <m/>
    <m/>
    <m/>
    <m/>
    <m/>
    <m/>
    <n v="8"/>
    <n v="7"/>
    <n v="1"/>
    <n v="0"/>
    <n v="0"/>
    <n v="0"/>
    <n v="0"/>
    <n v="0"/>
    <n v="0"/>
    <n v="8"/>
    <m/>
    <n v="0"/>
    <n v="8"/>
    <n v="0"/>
    <n v="0"/>
    <n v="0"/>
    <n v="0"/>
    <m/>
    <m/>
    <m/>
    <m/>
    <m/>
    <n v="8"/>
    <n v="517565"/>
    <n v="169582"/>
    <x v="3"/>
    <m/>
    <m/>
    <m/>
    <s v="Mixed Use Area"/>
    <s v="Hampton Wick"/>
    <m/>
    <m/>
    <s v="Conservation Area"/>
    <s v="CA18 Hampton Wick"/>
  </r>
  <r>
    <s v="18/3941/GPD15"/>
    <x v="1"/>
    <x v="1"/>
    <d v="2019-01-30T00:00:00"/>
    <d v="2022-01-30T00:00:00"/>
    <d v="2019-09-14T00:00:00"/>
    <d v="2020-09-02T00:00:00"/>
    <x v="1"/>
    <x v="0"/>
    <m/>
    <s v="Change of use from office (B1) to three residential units (C3), with associated car parking provision."/>
    <s v="Sherwood House_x000d_Forest Road_x000d_Kew_x000d_TW9 3BY_x000d_"/>
    <s v="TW9 3BY"/>
    <m/>
    <m/>
    <m/>
    <m/>
    <m/>
    <m/>
    <m/>
    <m/>
    <n v="0"/>
    <m/>
    <m/>
    <n v="1"/>
    <n v="2"/>
    <m/>
    <m/>
    <m/>
    <m/>
    <m/>
    <n v="3"/>
    <n v="0"/>
    <n v="1"/>
    <n v="2"/>
    <n v="0"/>
    <n v="0"/>
    <n v="0"/>
    <n v="0"/>
    <n v="0"/>
    <n v="3"/>
    <m/>
    <n v="0"/>
    <n v="3"/>
    <n v="0"/>
    <n v="0"/>
    <n v="0"/>
    <n v="0"/>
    <m/>
    <m/>
    <m/>
    <m/>
    <m/>
    <n v="3"/>
    <n v="519311"/>
    <n v="177214"/>
    <x v="9"/>
    <m/>
    <m/>
    <m/>
    <m/>
    <m/>
    <m/>
    <m/>
    <s v="Conservation Area"/>
    <s v="CA2 Kew Green"/>
  </r>
  <r>
    <s v="19/0092/FUL"/>
    <x v="3"/>
    <x v="0"/>
    <d v="2019-07-03T00:00:00"/>
    <d v="2022-07-03T00:00:00"/>
    <d v="2019-08-14T00:00:00"/>
    <d v="2020-09-15T00:00:00"/>
    <x v="1"/>
    <x v="0"/>
    <m/>
    <s v="Single-storey extension and conversion of the existing granny annexe to provide a new 1 bedroom, 2 person dwelling with associated new landscaping."/>
    <s v="11 Grasmere Avenue_x000d_Whitton_x000d_Hounslow_x000d_TW3 2JG_x000d_"/>
    <s v="TW3 2JG"/>
    <m/>
    <m/>
    <m/>
    <m/>
    <m/>
    <m/>
    <m/>
    <m/>
    <n v="0"/>
    <m/>
    <n v="1"/>
    <m/>
    <m/>
    <m/>
    <m/>
    <m/>
    <m/>
    <m/>
    <n v="1"/>
    <n v="1"/>
    <n v="0"/>
    <n v="0"/>
    <n v="0"/>
    <n v="0"/>
    <n v="0"/>
    <n v="0"/>
    <n v="0"/>
    <n v="1"/>
    <m/>
    <n v="0"/>
    <n v="1"/>
    <n v="0"/>
    <n v="0"/>
    <n v="0"/>
    <n v="0"/>
    <m/>
    <m/>
    <m/>
    <m/>
    <m/>
    <n v="1"/>
    <n v="513733"/>
    <n v="174333"/>
    <x v="13"/>
    <m/>
    <m/>
    <m/>
    <m/>
    <m/>
    <m/>
    <m/>
    <m/>
    <m/>
  </r>
  <r>
    <s v="19/0111/FUL"/>
    <x v="3"/>
    <x v="0"/>
    <d v="2019-12-12T00:00:00"/>
    <d v="2022-12-12T00:00:00"/>
    <d v="2020-03-30T00:00:00"/>
    <m/>
    <x v="1"/>
    <x v="0"/>
    <m/>
    <s v="Erection of an independent senior living extra care building comprising of 28 units (following demolition of existing care home) at 12 - 14 Station Road, the refurbishment and renovation of Nos.13 and 23 - 33 Lower Teddington Road (including the erection"/>
    <s v="12 To 14 Station Road And 13 And 19 To 33_x000d_Lower Teddington Road_x000d_Hampton Wick_x000d__x000d_"/>
    <s v="KT1"/>
    <n v="10"/>
    <m/>
    <m/>
    <m/>
    <m/>
    <m/>
    <m/>
    <m/>
    <n v="10"/>
    <m/>
    <n v="20"/>
    <n v="30"/>
    <n v="1"/>
    <m/>
    <m/>
    <m/>
    <m/>
    <m/>
    <n v="51"/>
    <n v="10"/>
    <n v="30"/>
    <n v="1"/>
    <n v="0"/>
    <n v="0"/>
    <n v="0"/>
    <n v="0"/>
    <n v="0"/>
    <n v="41"/>
    <m/>
    <n v="0"/>
    <n v="0"/>
    <n v="20.5"/>
    <n v="20.5"/>
    <n v="0"/>
    <n v="0"/>
    <m/>
    <m/>
    <m/>
    <m/>
    <m/>
    <n v="41"/>
    <n v="517598"/>
    <n v="169722"/>
    <x v="3"/>
    <m/>
    <m/>
    <m/>
    <m/>
    <m/>
    <m/>
    <m/>
    <s v="Conservation Area"/>
    <s v="CA18 Hampton Wick"/>
  </r>
  <r>
    <s v="19/0181/GPD15"/>
    <x v="1"/>
    <x v="1"/>
    <d v="2019-03-06T00:00:00"/>
    <d v="2022-03-06T00:00:00"/>
    <d v="2019-05-13T00:00:00"/>
    <d v="2020-07-02T00:00:00"/>
    <x v="1"/>
    <x v="0"/>
    <m/>
    <s v="Change of use from B1 (Offices) to C3(a) (Dwellings) (1 x 1 bed)."/>
    <s v="95 South Worple Way_x000d_East Sheen_x000d_London_x000d_SW14 8ND_x000d_"/>
    <s v="SW14 8ND"/>
    <m/>
    <m/>
    <m/>
    <m/>
    <m/>
    <m/>
    <m/>
    <m/>
    <n v="0"/>
    <m/>
    <n v="1"/>
    <m/>
    <m/>
    <m/>
    <m/>
    <m/>
    <m/>
    <m/>
    <n v="1"/>
    <n v="1"/>
    <n v="0"/>
    <n v="0"/>
    <n v="0"/>
    <n v="0"/>
    <n v="0"/>
    <n v="0"/>
    <n v="0"/>
    <n v="1"/>
    <m/>
    <n v="0"/>
    <n v="1"/>
    <n v="0"/>
    <n v="0"/>
    <n v="0"/>
    <n v="0"/>
    <m/>
    <m/>
    <m/>
    <m/>
    <m/>
    <n v="1"/>
    <n v="520540"/>
    <n v="175748"/>
    <x v="7"/>
    <m/>
    <s v="East Sheen"/>
    <m/>
    <m/>
    <m/>
    <m/>
    <m/>
    <m/>
    <m/>
  </r>
  <r>
    <s v="19/0347/GPD15"/>
    <x v="1"/>
    <x v="1"/>
    <d v="2019-03-12T00:00:00"/>
    <d v="2022-03-13T00:00:00"/>
    <d v="2019-04-01T00:00:00"/>
    <m/>
    <x v="1"/>
    <x v="0"/>
    <m/>
    <s v="Change of use from B1(a) Office use to C3 Residential use to provide 3 x 1 bed and 1 x 2 bed flats with associated internal refuse and cycle storage."/>
    <s v="Albion House_x000d_Colne Road_x000d_Twickenham_x000d_TW2 6QL_x000d_"/>
    <s v="TW2 6QL"/>
    <m/>
    <m/>
    <m/>
    <m/>
    <m/>
    <m/>
    <m/>
    <m/>
    <n v="0"/>
    <m/>
    <n v="3"/>
    <n v="1"/>
    <m/>
    <m/>
    <m/>
    <m/>
    <m/>
    <m/>
    <n v="4"/>
    <n v="3"/>
    <n v="1"/>
    <n v="0"/>
    <n v="0"/>
    <n v="0"/>
    <n v="0"/>
    <n v="0"/>
    <n v="0"/>
    <n v="4"/>
    <m/>
    <n v="0"/>
    <n v="4"/>
    <n v="0"/>
    <n v="0"/>
    <n v="0"/>
    <n v="0"/>
    <m/>
    <m/>
    <m/>
    <m/>
    <m/>
    <n v="4"/>
    <n v="515383"/>
    <n v="173139"/>
    <x v="5"/>
    <m/>
    <m/>
    <m/>
    <m/>
    <m/>
    <m/>
    <m/>
    <m/>
    <m/>
  </r>
  <r>
    <s v="19/0386/FUL"/>
    <x v="0"/>
    <x v="0"/>
    <d v="2019-07-05T00:00:00"/>
    <d v="2022-07-05T00:00:00"/>
    <d v="2020-01-06T00:00:00"/>
    <m/>
    <x v="1"/>
    <x v="0"/>
    <m/>
    <s v="Demolition of the existing self-contained single-storey detached dwelling and construction of replacement 2 storey dwelling with associated landscaping and boundary treatment alteration."/>
    <s v="10 Constance Road_x000d_Twickenham_x000d_TW2 7JH"/>
    <s v="TW2 7JH"/>
    <n v="1"/>
    <m/>
    <m/>
    <m/>
    <m/>
    <m/>
    <m/>
    <m/>
    <n v="1"/>
    <m/>
    <m/>
    <n v="1"/>
    <m/>
    <m/>
    <m/>
    <m/>
    <m/>
    <m/>
    <n v="1"/>
    <n v="-1"/>
    <n v="1"/>
    <n v="0"/>
    <n v="0"/>
    <n v="0"/>
    <n v="0"/>
    <n v="0"/>
    <n v="0"/>
    <n v="0"/>
    <m/>
    <n v="0"/>
    <n v="0"/>
    <n v="0"/>
    <n v="0"/>
    <n v="0"/>
    <n v="0"/>
    <m/>
    <m/>
    <m/>
    <m/>
    <m/>
    <n v="0"/>
    <n v="514120"/>
    <n v="173638"/>
    <x v="13"/>
    <m/>
    <m/>
    <m/>
    <m/>
    <m/>
    <m/>
    <m/>
    <m/>
    <m/>
  </r>
  <r>
    <s v="19/0551/FUL"/>
    <x v="2"/>
    <x v="0"/>
    <d v="2019-08-21T00:00:00"/>
    <d v="2022-08-21T00:00:00"/>
    <d v="2019-11-04T00:00:00"/>
    <m/>
    <x v="1"/>
    <x v="0"/>
    <m/>
    <s v="Convert 2 flats back to one family house. Proposed pitched side infill extension adjacent neighbouring infill extension with glazed rooflight. Proposed loft conversion with full width rear dormer, partial dormer to outrigger and rooflights."/>
    <s v="32 Selwyn Avenue_x000d_Richmond_x000d_TW9 2HA_x000d_"/>
    <s v="TW9 2HA"/>
    <n v="1"/>
    <n v="1"/>
    <m/>
    <m/>
    <m/>
    <m/>
    <m/>
    <m/>
    <n v="2"/>
    <m/>
    <m/>
    <m/>
    <m/>
    <m/>
    <n v="1"/>
    <m/>
    <m/>
    <m/>
    <n v="1"/>
    <n v="-1"/>
    <n v="-1"/>
    <n v="0"/>
    <n v="0"/>
    <n v="1"/>
    <n v="0"/>
    <n v="0"/>
    <n v="0"/>
    <n v="-1"/>
    <m/>
    <n v="0"/>
    <n v="-1"/>
    <n v="0"/>
    <n v="0"/>
    <n v="0"/>
    <n v="0"/>
    <m/>
    <m/>
    <m/>
    <m/>
    <m/>
    <n v="-1"/>
    <n v="518458"/>
    <n v="175501"/>
    <x v="12"/>
    <m/>
    <m/>
    <m/>
    <m/>
    <m/>
    <m/>
    <m/>
    <m/>
    <m/>
  </r>
  <r>
    <s v="19/0772/GPD15"/>
    <x v="1"/>
    <x v="1"/>
    <d v="2019-05-09T00:00:00"/>
    <d v="2022-05-09T00:00:00"/>
    <d v="2020-03-02T00:00:00"/>
    <m/>
    <x v="1"/>
    <x v="0"/>
    <m/>
    <s v="Change of use of B1(a) offices on ground floor level to c3 (Residential) to provide 3 x 1 bed self-contained residential apartments."/>
    <s v="28 Second Cross Road_x000d_Twickenham_x000d_TW2 5RF_x000d_"/>
    <s v="TW2 5RF"/>
    <m/>
    <m/>
    <m/>
    <m/>
    <m/>
    <m/>
    <m/>
    <m/>
    <n v="0"/>
    <m/>
    <n v="3"/>
    <m/>
    <m/>
    <m/>
    <m/>
    <m/>
    <m/>
    <m/>
    <n v="3"/>
    <n v="3"/>
    <n v="0"/>
    <n v="0"/>
    <n v="0"/>
    <n v="0"/>
    <n v="0"/>
    <n v="0"/>
    <n v="0"/>
    <n v="3"/>
    <m/>
    <n v="0"/>
    <n v="3"/>
    <n v="0"/>
    <n v="0"/>
    <n v="0"/>
    <n v="0"/>
    <m/>
    <m/>
    <m/>
    <m/>
    <m/>
    <n v="3"/>
    <n v="515069"/>
    <n v="172813"/>
    <x v="2"/>
    <m/>
    <m/>
    <m/>
    <m/>
    <m/>
    <m/>
    <m/>
    <m/>
    <m/>
  </r>
  <r>
    <s v="19/0867/FUL"/>
    <x v="3"/>
    <x v="0"/>
    <d v="2019-06-03T00:00:00"/>
    <d v="2022-06-04T00:00:00"/>
    <d v="2019-09-23T00:00:00"/>
    <d v="2020-06-04T00:00:00"/>
    <x v="1"/>
    <x v="0"/>
    <m/>
    <s v="Conversion of ground and first floor store rooms and single-storey extension to form a new maisonette."/>
    <s v="383 St Margarets Road_x000d_Twickenham_x000d_TW1 1PP"/>
    <s v="TW1 1PP"/>
    <m/>
    <m/>
    <m/>
    <m/>
    <m/>
    <m/>
    <m/>
    <m/>
    <n v="0"/>
    <m/>
    <n v="1"/>
    <m/>
    <m/>
    <m/>
    <m/>
    <m/>
    <m/>
    <m/>
    <n v="1"/>
    <n v="1"/>
    <n v="0"/>
    <n v="0"/>
    <n v="0"/>
    <n v="0"/>
    <n v="0"/>
    <n v="0"/>
    <n v="0"/>
    <n v="1"/>
    <m/>
    <n v="0"/>
    <n v="1"/>
    <n v="0"/>
    <n v="0"/>
    <n v="0"/>
    <n v="0"/>
    <m/>
    <m/>
    <m/>
    <m/>
    <m/>
    <n v="1"/>
    <n v="516556"/>
    <n v="175236"/>
    <x v="1"/>
    <m/>
    <m/>
    <m/>
    <m/>
    <m/>
    <m/>
    <m/>
    <m/>
    <m/>
  </r>
  <r>
    <s v="19/0893/FUL"/>
    <x v="1"/>
    <x v="0"/>
    <d v="2019-08-12T00:00:00"/>
    <d v="2022-08-12T00:00:00"/>
    <d v="2020-02-03T00:00:00"/>
    <m/>
    <x v="1"/>
    <x v="0"/>
    <m/>
    <s v="Change of use of ground floor from dental surgery (D1 use class) to 1 no. residential dwelling (C3 use), demolition of side garage, alterations to side extension and fenestration."/>
    <s v="320 Kew Road_x000d_Kew_x000d_Richmond_x000d_TW9 3DU_x000d_"/>
    <s v="TW9 3DU"/>
    <m/>
    <m/>
    <m/>
    <m/>
    <m/>
    <m/>
    <m/>
    <m/>
    <n v="0"/>
    <m/>
    <m/>
    <m/>
    <n v="1"/>
    <m/>
    <m/>
    <m/>
    <m/>
    <m/>
    <n v="1"/>
    <n v="0"/>
    <n v="0"/>
    <n v="1"/>
    <n v="0"/>
    <n v="0"/>
    <n v="0"/>
    <n v="0"/>
    <n v="0"/>
    <n v="1"/>
    <m/>
    <n v="0"/>
    <n v="1"/>
    <n v="0"/>
    <n v="0"/>
    <n v="0"/>
    <n v="0"/>
    <m/>
    <m/>
    <m/>
    <m/>
    <m/>
    <n v="1"/>
    <n v="518999"/>
    <n v="177227"/>
    <x v="9"/>
    <m/>
    <m/>
    <m/>
    <m/>
    <m/>
    <m/>
    <m/>
    <s v="Conservation Area"/>
    <s v="CA2 Kew Green"/>
  </r>
  <r>
    <s v="19/0950/FUL"/>
    <x v="1"/>
    <x v="0"/>
    <d v="2019-08-13T00:00:00"/>
    <d v="2022-08-13T00:00:00"/>
    <d v="2020-01-28T00:00:00"/>
    <m/>
    <x v="1"/>
    <x v="0"/>
    <m/>
    <s v="Change of use of first, second and part ground floors from retail and associated storage to a 1 bedroom flat, together with internal alterations and installation of a new door to ground floor side elevation (to front side alleyway)."/>
    <s v="11 Paved Court_x000d_Richmond_x000d_TW9 1LZ"/>
    <s v="TW9 1LZ"/>
    <m/>
    <m/>
    <m/>
    <m/>
    <m/>
    <m/>
    <m/>
    <m/>
    <n v="0"/>
    <m/>
    <n v="1"/>
    <m/>
    <m/>
    <m/>
    <m/>
    <m/>
    <m/>
    <m/>
    <n v="1"/>
    <n v="1"/>
    <n v="0"/>
    <n v="0"/>
    <n v="0"/>
    <n v="0"/>
    <n v="0"/>
    <n v="0"/>
    <n v="0"/>
    <n v="1"/>
    <m/>
    <n v="0"/>
    <n v="1"/>
    <n v="0"/>
    <n v="0"/>
    <n v="0"/>
    <n v="0"/>
    <m/>
    <m/>
    <m/>
    <m/>
    <m/>
    <n v="1"/>
    <n v="517726"/>
    <n v="174837"/>
    <x v="4"/>
    <m/>
    <s v="Richmond"/>
    <m/>
    <m/>
    <m/>
    <m/>
    <m/>
    <s v="Conservation Area"/>
    <s v="CA3 Richmond Green"/>
  </r>
  <r>
    <s v="19/0954/VRC"/>
    <x v="0"/>
    <x v="0"/>
    <d v="2019-10-16T00:00:00"/>
    <d v="2020-10-06T00:00:00"/>
    <d v="2019-07-24T00:00:00"/>
    <m/>
    <x v="1"/>
    <x v="0"/>
    <m/>
    <s v="Minor material amendment to application ref 16/3290/FUL (Partial demolition of an existing building and the creation of 3 new dwelling houses and associated works) by variation of appeal decision condition 2 (approved drawing numbers) to allow for externa"/>
    <s v="45 The Vineyard_x000d_Richmond_x000d_TW10 6AS_x000d_"/>
    <s v="TW10 6AS"/>
    <m/>
    <n v="2"/>
    <n v="1"/>
    <m/>
    <m/>
    <m/>
    <m/>
    <m/>
    <n v="3"/>
    <m/>
    <m/>
    <m/>
    <m/>
    <n v="3"/>
    <m/>
    <m/>
    <m/>
    <n v="0"/>
    <n v="3"/>
    <n v="0"/>
    <n v="-2"/>
    <n v="-1"/>
    <n v="3"/>
    <n v="0"/>
    <n v="0"/>
    <n v="0"/>
    <n v="0"/>
    <n v="0"/>
    <m/>
    <n v="0"/>
    <n v="0"/>
    <n v="0"/>
    <n v="0"/>
    <n v="0"/>
    <n v="0"/>
    <m/>
    <m/>
    <m/>
    <m/>
    <m/>
    <n v="0"/>
    <n v="518209"/>
    <n v="174625"/>
    <x v="4"/>
    <m/>
    <m/>
    <m/>
    <m/>
    <m/>
    <m/>
    <m/>
    <s v="Conservation Area"/>
    <s v="CA30 St Matthias Richmond"/>
  </r>
  <r>
    <s v="19/0974/FUL"/>
    <x v="2"/>
    <x v="0"/>
    <d v="2019-08-02T00:00:00"/>
    <d v="2022-08-02T00:00:00"/>
    <d v="2020-02-11T00:00:00"/>
    <m/>
    <x v="1"/>
    <x v="0"/>
    <m/>
    <s v="Two-storey side/rear extension with accommodation in the roof, removal of external staircase to facilitate the conversion of existing dwellinghouse into 7 self-contained flats (4 x 1 bed and 3 x 2 bed) and associated cycle and refuse stores."/>
    <s v="Fairlight_x000d_4 Church Grove_x000d_Hampton Wick_x000d_Kingston Upon Thames_x000d_KT1 4AL_x000d_"/>
    <s v="KT1 4AL"/>
    <m/>
    <m/>
    <m/>
    <m/>
    <m/>
    <m/>
    <m/>
    <n v="1"/>
    <n v="1"/>
    <m/>
    <n v="4"/>
    <n v="3"/>
    <m/>
    <m/>
    <m/>
    <m/>
    <m/>
    <m/>
    <n v="7"/>
    <n v="4"/>
    <n v="3"/>
    <n v="0"/>
    <n v="0"/>
    <n v="0"/>
    <n v="0"/>
    <n v="0"/>
    <n v="-1"/>
    <n v="6"/>
    <m/>
    <n v="0"/>
    <n v="6"/>
    <n v="0"/>
    <n v="0"/>
    <n v="0"/>
    <n v="0"/>
    <m/>
    <m/>
    <m/>
    <m/>
    <m/>
    <n v="6"/>
    <n v="517453"/>
    <n v="169423"/>
    <x v="3"/>
    <m/>
    <m/>
    <m/>
    <s v="Mixed Use Area"/>
    <s v="Hampton Wick"/>
    <m/>
    <m/>
    <s v="Conservation Area"/>
    <s v="CA18 Hampton Wick"/>
  </r>
  <r>
    <s v="19/1332/GPD13"/>
    <x v="1"/>
    <x v="1"/>
    <d v="2019-07-11T00:00:00"/>
    <d v="2022-07-11T00:00:00"/>
    <d v="2019-08-01T00:00:00"/>
    <d v="2020-06-05T00:00:00"/>
    <x v="1"/>
    <x v="0"/>
    <m/>
    <s v="Change of use of the ground floor unit from A1 (hairdresser) to C3 (residential) to provide a 1 bed flat."/>
    <s v="70 Hounslow Road_x000d_Twickenham_x000d_TW2 7EX_x000d_"/>
    <s v="TW2 7EX"/>
    <m/>
    <m/>
    <m/>
    <m/>
    <m/>
    <m/>
    <m/>
    <m/>
    <n v="0"/>
    <m/>
    <n v="1"/>
    <m/>
    <m/>
    <m/>
    <m/>
    <m/>
    <m/>
    <m/>
    <n v="1"/>
    <n v="1"/>
    <n v="0"/>
    <n v="0"/>
    <n v="0"/>
    <n v="0"/>
    <n v="0"/>
    <n v="0"/>
    <n v="0"/>
    <n v="1"/>
    <m/>
    <n v="0"/>
    <n v="1"/>
    <n v="0"/>
    <n v="0"/>
    <n v="0"/>
    <n v="0"/>
    <m/>
    <m/>
    <m/>
    <m/>
    <m/>
    <n v="1"/>
    <n v="514126"/>
    <n v="174159"/>
    <x v="13"/>
    <m/>
    <m/>
    <m/>
    <m/>
    <m/>
    <m/>
    <m/>
    <m/>
    <m/>
  </r>
  <r>
    <s v="19/1455/FUL"/>
    <x v="2"/>
    <x v="0"/>
    <d v="2019-08-06T00:00:00"/>
    <d v="2022-08-06T00:00:00"/>
    <d v="2020-01-16T00:00:00"/>
    <m/>
    <x v="1"/>
    <x v="0"/>
    <m/>
    <s v="Create 2 No. flats from existing dwelling . Ground floor 2 bed flat, first &amp; 2nd floor 2 bed flat."/>
    <s v="29 St Leonards Road_x000d_East Sheen_x000d_London_x000d_SW14 7LY_x000d_"/>
    <s v="SW14 7LY"/>
    <m/>
    <m/>
    <m/>
    <m/>
    <n v="1"/>
    <m/>
    <m/>
    <m/>
    <n v="1"/>
    <m/>
    <m/>
    <n v="2"/>
    <m/>
    <m/>
    <m/>
    <m/>
    <m/>
    <m/>
    <n v="2"/>
    <n v="0"/>
    <n v="2"/>
    <n v="0"/>
    <n v="0"/>
    <n v="-1"/>
    <n v="0"/>
    <n v="0"/>
    <n v="0"/>
    <n v="1"/>
    <m/>
    <n v="0"/>
    <n v="1"/>
    <n v="0"/>
    <n v="0"/>
    <n v="0"/>
    <n v="0"/>
    <m/>
    <m/>
    <m/>
    <m/>
    <m/>
    <n v="1"/>
    <n v="520308"/>
    <n v="175588"/>
    <x v="7"/>
    <m/>
    <m/>
    <m/>
    <m/>
    <m/>
    <m/>
    <m/>
    <m/>
    <m/>
  </r>
  <r>
    <s v="19/1502/FUL"/>
    <x v="1"/>
    <x v="0"/>
    <d v="2019-07-22T00:00:00"/>
    <d v="2022-07-22T00:00:00"/>
    <d v="2019-09-19T00:00:00"/>
    <d v="2020-07-30T00:00:00"/>
    <x v="1"/>
    <x v="0"/>
    <m/>
    <s v="Use of rear part of ground floor shop and single storey rear infill extension as extension to existing first floor flat and replacement of external staircase with spiral staircase."/>
    <s v="56A White Hart Lane_x000d_Barnes_x000d_London_x000d_SW13 0PZ"/>
    <s v="SW13 0PZ"/>
    <m/>
    <n v="1"/>
    <m/>
    <m/>
    <m/>
    <m/>
    <m/>
    <m/>
    <n v="1"/>
    <m/>
    <m/>
    <m/>
    <n v="1"/>
    <m/>
    <m/>
    <m/>
    <m/>
    <m/>
    <n v="1"/>
    <n v="0"/>
    <n v="-1"/>
    <n v="1"/>
    <n v="0"/>
    <n v="0"/>
    <n v="0"/>
    <n v="0"/>
    <n v="0"/>
    <n v="0"/>
    <m/>
    <n v="0"/>
    <n v="0"/>
    <n v="0"/>
    <n v="0"/>
    <n v="0"/>
    <n v="0"/>
    <m/>
    <m/>
    <m/>
    <m/>
    <m/>
    <n v="0"/>
    <n v="521312"/>
    <n v="175859"/>
    <x v="6"/>
    <m/>
    <m/>
    <m/>
    <s v="Mixed Use Area"/>
    <s v="White Hart lane"/>
    <m/>
    <m/>
    <m/>
    <m/>
  </r>
  <r>
    <s v="19/1620/GPD15"/>
    <x v="1"/>
    <x v="1"/>
    <d v="2019-07-26T00:00:00"/>
    <d v="2021-04-03T00:00:00"/>
    <m/>
    <d v="2020-04-20T00:00:00"/>
    <x v="1"/>
    <x v="0"/>
    <m/>
    <s v="Conversion of basement from B1(a) office to C3 residential to provide 2 x 1 bed self-contained residential flats."/>
    <s v="Argyle House_x000d_1 Dee Road_x000d_Richmond_x000d__x000d_"/>
    <s v="TW9 2JW"/>
    <m/>
    <m/>
    <m/>
    <m/>
    <m/>
    <m/>
    <m/>
    <m/>
    <n v="0"/>
    <m/>
    <n v="2"/>
    <m/>
    <m/>
    <m/>
    <m/>
    <m/>
    <m/>
    <m/>
    <n v="2"/>
    <n v="2"/>
    <n v="0"/>
    <n v="0"/>
    <n v="0"/>
    <n v="0"/>
    <n v="0"/>
    <n v="0"/>
    <n v="0"/>
    <n v="2"/>
    <m/>
    <n v="0"/>
    <n v="2"/>
    <n v="0"/>
    <n v="0"/>
    <n v="0"/>
    <n v="0"/>
    <m/>
    <m/>
    <m/>
    <m/>
    <m/>
    <n v="2"/>
    <n v="518741"/>
    <n v="175360"/>
    <x v="12"/>
    <m/>
    <m/>
    <m/>
    <m/>
    <m/>
    <m/>
    <m/>
    <m/>
    <m/>
  </r>
  <r>
    <s v="19/1622/FUL"/>
    <x v="1"/>
    <x v="0"/>
    <d v="2019-10-18T00:00:00"/>
    <d v="2022-10-18T00:00:00"/>
    <d v="2020-03-31T00:00:00"/>
    <m/>
    <x v="1"/>
    <x v="0"/>
    <m/>
    <s v="New rear second floor addition, alterations to the existing roof to facilitate the conversion of 1 bedroom flat into 1 x 2 bed duplex flat with a study and 1 x 2 bed duplex flat.   Formation of an extended car park area to rear comprising 5 car spaces, cy"/>
    <s v="28 Second Cross Road_x000d_Twickenham_x000d_TW2 5RF"/>
    <s v="TW2 5RF"/>
    <m/>
    <m/>
    <n v="1"/>
    <m/>
    <m/>
    <m/>
    <m/>
    <m/>
    <n v="1"/>
    <m/>
    <m/>
    <n v="2"/>
    <m/>
    <m/>
    <m/>
    <m/>
    <m/>
    <m/>
    <n v="2"/>
    <n v="0"/>
    <n v="2"/>
    <n v="-1"/>
    <n v="0"/>
    <n v="0"/>
    <n v="0"/>
    <n v="0"/>
    <n v="0"/>
    <n v="1"/>
    <m/>
    <n v="0"/>
    <n v="1"/>
    <n v="0"/>
    <n v="0"/>
    <n v="0"/>
    <n v="0"/>
    <m/>
    <m/>
    <m/>
    <m/>
    <m/>
    <n v="1"/>
    <n v="515069"/>
    <n v="172813"/>
    <x v="2"/>
    <m/>
    <m/>
    <m/>
    <m/>
    <m/>
    <m/>
    <m/>
    <m/>
    <m/>
  </r>
  <r>
    <s v="19/1978/FUL"/>
    <x v="2"/>
    <x v="0"/>
    <d v="2019-11-11T00:00:00"/>
    <d v="2022-11-11T00:00:00"/>
    <d v="2019-11-18T00:00:00"/>
    <m/>
    <x v="1"/>
    <x v="0"/>
    <m/>
    <s v="Externals working comprising proposed full width rear extension across the lower and upper ground floors with lowering of garden levels to create a new terrace area to the rear, creation of a lightwell on the front elevation for access to new pair of Fren"/>
    <s v="14 Marlborough Road_x000d_Richmond_x000d_TW10 6JR"/>
    <s v="TW10 6JR"/>
    <n v="1"/>
    <m/>
    <m/>
    <m/>
    <m/>
    <n v="1"/>
    <m/>
    <m/>
    <n v="2"/>
    <m/>
    <m/>
    <m/>
    <m/>
    <m/>
    <m/>
    <n v="1"/>
    <m/>
    <m/>
    <n v="1"/>
    <n v="-1"/>
    <n v="0"/>
    <n v="0"/>
    <n v="0"/>
    <n v="0"/>
    <n v="0"/>
    <n v="0"/>
    <n v="0"/>
    <n v="-1"/>
    <m/>
    <n v="0"/>
    <n v="-1"/>
    <n v="0"/>
    <n v="0"/>
    <n v="0"/>
    <n v="0"/>
    <m/>
    <m/>
    <m/>
    <m/>
    <m/>
    <n v="-1"/>
    <n v="518508"/>
    <n v="174268"/>
    <x v="4"/>
    <m/>
    <m/>
    <m/>
    <m/>
    <m/>
    <m/>
    <m/>
    <s v="Conservation Area"/>
    <s v="CA30 St Matthias Richmond"/>
  </r>
  <r>
    <s v="19/2377/GPD15"/>
    <x v="1"/>
    <x v="1"/>
    <d v="2019-09-30T00:00:00"/>
    <d v="2022-09-30T00:00:00"/>
    <d v="2020-02-17T00:00:00"/>
    <m/>
    <x v="1"/>
    <x v="0"/>
    <m/>
    <s v="Partial change of use from office to residential (4 No flats)."/>
    <s v="122 - 124 St Margarets Road_x000d_Twickenham_x000d__x000d_"/>
    <s v="TW1 2LH"/>
    <m/>
    <m/>
    <m/>
    <m/>
    <m/>
    <m/>
    <m/>
    <m/>
    <n v="0"/>
    <m/>
    <m/>
    <n v="4"/>
    <m/>
    <m/>
    <m/>
    <m/>
    <m/>
    <m/>
    <n v="4"/>
    <n v="0"/>
    <n v="4"/>
    <n v="0"/>
    <n v="0"/>
    <n v="0"/>
    <n v="0"/>
    <n v="0"/>
    <n v="0"/>
    <n v="4"/>
    <m/>
    <n v="0"/>
    <n v="4"/>
    <n v="0"/>
    <n v="0"/>
    <n v="0"/>
    <n v="0"/>
    <m/>
    <m/>
    <m/>
    <m/>
    <m/>
    <n v="4"/>
    <n v="516843"/>
    <n v="174266"/>
    <x v="1"/>
    <m/>
    <m/>
    <m/>
    <s v="Mixed Use Area"/>
    <s v="St Margarets"/>
    <m/>
    <m/>
    <s v="Conservation Area"/>
    <s v="CA49 Crown Road St Margarets"/>
  </r>
  <r>
    <s v="19/3852/GPD15"/>
    <x v="1"/>
    <x v="1"/>
    <d v="2020-02-06T00:00:00"/>
    <d v="2023-02-06T00:00:00"/>
    <d v="2020-02-10T00:00:00"/>
    <m/>
    <x v="1"/>
    <x v="0"/>
    <m/>
    <s v="Change of use of ground floor from B1a office to C3 (Residential) use comprising 1x studio flat and 1x 1 bedroom flat"/>
    <s v="59 North Worple Way_x000d_Mortlake_x000d_London_x000d__x000d_"/>
    <s v="SW14 8HE"/>
    <m/>
    <m/>
    <m/>
    <m/>
    <m/>
    <m/>
    <m/>
    <m/>
    <n v="0"/>
    <m/>
    <n v="2"/>
    <m/>
    <m/>
    <m/>
    <m/>
    <m/>
    <m/>
    <m/>
    <n v="2"/>
    <n v="2"/>
    <n v="0"/>
    <n v="0"/>
    <n v="0"/>
    <n v="0"/>
    <n v="0"/>
    <n v="0"/>
    <n v="0"/>
    <n v="2"/>
    <m/>
    <n v="0"/>
    <n v="2"/>
    <n v="0"/>
    <n v="0"/>
    <n v="0"/>
    <n v="0"/>
    <m/>
    <m/>
    <m/>
    <m/>
    <m/>
    <n v="2"/>
    <n v="520890"/>
    <n v="175755"/>
    <x v="6"/>
    <m/>
    <m/>
    <m/>
    <m/>
    <m/>
    <m/>
    <m/>
    <m/>
    <m/>
  </r>
  <r>
    <s v="19/3913/GPD15"/>
    <x v="1"/>
    <x v="1"/>
    <d v="2020-02-14T00:00:00"/>
    <d v="2020-06-30T00:00:00"/>
    <d v="2020-03-02T00:00:00"/>
    <m/>
    <x v="1"/>
    <x v="0"/>
    <m/>
    <s v="Change of use from office (B1A )to residential  (C3) to create 2x 1 bedroom flats"/>
    <s v="2A Talbot Road_x000d_Isleworth_x000d_TW7 7HH_x000d_"/>
    <s v="TW7 7HH"/>
    <m/>
    <m/>
    <m/>
    <m/>
    <m/>
    <m/>
    <m/>
    <m/>
    <n v="0"/>
    <m/>
    <n v="2"/>
    <m/>
    <m/>
    <m/>
    <m/>
    <m/>
    <m/>
    <m/>
    <n v="2"/>
    <n v="2"/>
    <n v="0"/>
    <n v="0"/>
    <n v="0"/>
    <n v="0"/>
    <n v="0"/>
    <n v="0"/>
    <n v="0"/>
    <n v="2"/>
    <m/>
    <n v="0"/>
    <n v="2"/>
    <n v="0"/>
    <n v="0"/>
    <n v="0"/>
    <n v="0"/>
    <m/>
    <m/>
    <m/>
    <m/>
    <m/>
    <n v="2"/>
    <n v="516541"/>
    <n v="175254"/>
    <x v="1"/>
    <m/>
    <m/>
    <m/>
    <m/>
    <m/>
    <m/>
    <m/>
    <m/>
    <m/>
  </r>
  <r>
    <s v="19/1669/FUL"/>
    <x v="1"/>
    <x v="0"/>
    <d v="2019-08-23T00:00:00"/>
    <d v="2022-08-23T00:00:00"/>
    <d v="2019-11-11T00:00:00"/>
    <m/>
    <x v="1"/>
    <x v="0"/>
    <m/>
    <s v="Change of use of lower ground floor from retail (A1) to residential (C3) followed by amalgamation of lower ground floor with upper maisonette.  Upper and lower ground floor rear extension, formation of roof terrace, alterations to front entrance, replacem"/>
    <s v="Lower Ground Floor And_x000d_49B Petersham Road_x000d_Richmond_x000d__x000d_"/>
    <s v="TW10 6UH"/>
    <m/>
    <m/>
    <m/>
    <n v="1"/>
    <m/>
    <m/>
    <m/>
    <m/>
    <n v="1"/>
    <m/>
    <m/>
    <m/>
    <m/>
    <m/>
    <n v="1"/>
    <m/>
    <m/>
    <m/>
    <n v="1"/>
    <n v="0"/>
    <n v="0"/>
    <n v="0"/>
    <n v="-1"/>
    <n v="1"/>
    <n v="0"/>
    <n v="0"/>
    <n v="0"/>
    <n v="0"/>
    <m/>
    <n v="0"/>
    <n v="0"/>
    <n v="0"/>
    <n v="0"/>
    <n v="0"/>
    <n v="0"/>
    <m/>
    <m/>
    <m/>
    <m/>
    <m/>
    <n v="0"/>
    <n v="517949"/>
    <n v="174356"/>
    <x v="15"/>
    <m/>
    <m/>
    <s v="Thames Policy Area"/>
    <m/>
    <m/>
    <m/>
    <m/>
    <s v="Conservation Area"/>
    <s v="CA5 Richmond Hill"/>
  </r>
  <r>
    <s v="15/2204/FUL"/>
    <x v="0"/>
    <x v="0"/>
    <d v="2018-07-03T00:00:00"/>
    <d v="2021-07-03T00:00:00"/>
    <m/>
    <m/>
    <x v="2"/>
    <x v="0"/>
    <m/>
    <s v="Change of use from a private garage and store to a 2 bedroom house with associated single storey extensions; retention of existing photovoltaic arrays; associated cycle and refuse/recycle stores; hard and soft landscaping and installation of car turntable"/>
    <s v="1E Colonial Avenue Twickenham TW2 7EE_x000a_"/>
    <s v="TW2 7EE"/>
    <m/>
    <m/>
    <m/>
    <m/>
    <m/>
    <m/>
    <m/>
    <m/>
    <n v="0"/>
    <m/>
    <m/>
    <n v="1"/>
    <m/>
    <m/>
    <m/>
    <m/>
    <m/>
    <m/>
    <n v="1"/>
    <n v="0"/>
    <n v="1"/>
    <n v="0"/>
    <n v="0"/>
    <n v="0"/>
    <n v="0"/>
    <n v="0"/>
    <n v="0"/>
    <n v="1"/>
    <m/>
    <n v="0"/>
    <n v="0"/>
    <n v="0.25"/>
    <n v="0.25"/>
    <n v="0.25"/>
    <n v="0.25"/>
    <m/>
    <m/>
    <m/>
    <m/>
    <m/>
    <n v="1"/>
    <n v="514174"/>
    <n v="174381"/>
    <x v="13"/>
    <m/>
    <m/>
    <m/>
    <m/>
    <m/>
    <m/>
    <m/>
    <m/>
    <m/>
  </r>
  <r>
    <s v="15/3296/FUL"/>
    <x v="0"/>
    <x v="0"/>
    <d v="2019-08-13T00:00:00"/>
    <d v="2022-08-13T00:00:00"/>
    <m/>
    <m/>
    <x v="2"/>
    <x v="1"/>
    <m/>
    <s v="SITE A:-Removal of 40 garages_x000d_Create a short terrace of high quality two storey houses consisting of three x  three-bedroom houses and two x  four-bedroom houses. Provision of 16 parking spaces in a shared surface courtyard"/>
    <s v="Garages Site A_x000d_Bucklands Road_x000d_Teddington_x000d__x000d_"/>
    <s v="TW11"/>
    <m/>
    <m/>
    <m/>
    <m/>
    <m/>
    <m/>
    <m/>
    <m/>
    <n v="0"/>
    <s v="Y"/>
    <m/>
    <m/>
    <n v="3"/>
    <n v="2"/>
    <m/>
    <m/>
    <m/>
    <m/>
    <n v="5"/>
    <n v="0"/>
    <n v="0"/>
    <n v="3"/>
    <n v="2"/>
    <n v="0"/>
    <n v="0"/>
    <n v="0"/>
    <n v="0"/>
    <n v="5"/>
    <m/>
    <n v="0"/>
    <n v="0"/>
    <n v="1.25"/>
    <n v="1.25"/>
    <n v="1.25"/>
    <n v="1.25"/>
    <m/>
    <m/>
    <m/>
    <m/>
    <m/>
    <n v="5"/>
    <n v="517328"/>
    <n v="170954"/>
    <x v="3"/>
    <m/>
    <m/>
    <m/>
    <m/>
    <m/>
    <m/>
    <m/>
    <m/>
    <m/>
  </r>
  <r>
    <s v="15/3297/FUL"/>
    <x v="0"/>
    <x v="0"/>
    <d v="2019-08-13T00:00:00"/>
    <d v="2022-08-13T00:00:00"/>
    <m/>
    <m/>
    <x v="2"/>
    <x v="1"/>
    <m/>
    <s v="SITE B: The site is currently an open parking court of approximately 28 spaces accessed from Bucklands Road. Create a pair of semi-detached high quality four-bedroom houses._x000a_-Provision of 24 car parking spaces"/>
    <s v="Garage Site B_x000d_Bucklands Road_x000d_Teddington_x000d__x000d_"/>
    <s v="TW11"/>
    <m/>
    <m/>
    <m/>
    <m/>
    <m/>
    <m/>
    <m/>
    <m/>
    <n v="0"/>
    <s v="Y"/>
    <m/>
    <m/>
    <m/>
    <n v="2"/>
    <m/>
    <m/>
    <m/>
    <m/>
    <n v="2"/>
    <n v="0"/>
    <n v="0"/>
    <n v="0"/>
    <n v="2"/>
    <n v="0"/>
    <n v="0"/>
    <n v="0"/>
    <n v="0"/>
    <n v="2"/>
    <m/>
    <n v="0"/>
    <n v="0"/>
    <n v="0.5"/>
    <n v="0.5"/>
    <n v="0.5"/>
    <n v="0.5"/>
    <m/>
    <m/>
    <m/>
    <m/>
    <m/>
    <n v="2"/>
    <n v="517351"/>
    <n v="170884"/>
    <x v="3"/>
    <m/>
    <m/>
    <m/>
    <m/>
    <m/>
    <m/>
    <m/>
    <m/>
    <m/>
  </r>
  <r>
    <s v="15/4581/FUL"/>
    <x v="0"/>
    <x v="0"/>
    <d v="2018-04-23T00:00:00"/>
    <d v="2021-04-23T00:00:00"/>
    <m/>
    <m/>
    <x v="2"/>
    <x v="0"/>
    <m/>
    <s v="Demolition of all site buildings and redevelopment of the site for a mixed use development comprising a new car showroom with associated workshops (sui generis), office accommodation (Use Class B1a) and six three-bedrooom residential dwellings (Use Class"/>
    <s v="45 - 49 Station Road_x000d_Hampton_x000d_TW12 2BT_x000d_"/>
    <s v="TW12 2BT"/>
    <m/>
    <m/>
    <m/>
    <m/>
    <m/>
    <m/>
    <m/>
    <m/>
    <n v="0"/>
    <m/>
    <m/>
    <m/>
    <n v="6"/>
    <m/>
    <m/>
    <m/>
    <m/>
    <m/>
    <n v="6"/>
    <n v="0"/>
    <n v="0"/>
    <n v="6"/>
    <n v="0"/>
    <n v="0"/>
    <n v="0"/>
    <n v="0"/>
    <n v="0"/>
    <n v="6"/>
    <m/>
    <n v="0"/>
    <n v="0"/>
    <n v="1.5"/>
    <n v="1.5"/>
    <n v="1.5"/>
    <n v="1.5"/>
    <m/>
    <m/>
    <m/>
    <m/>
    <m/>
    <n v="6"/>
    <n v="513825"/>
    <n v="169567"/>
    <x v="8"/>
    <m/>
    <m/>
    <m/>
    <m/>
    <m/>
    <m/>
    <m/>
    <s v="Conservation Area"/>
    <s v="CA12 Hampton Village"/>
  </r>
  <r>
    <s v="15/4586/FUL"/>
    <x v="0"/>
    <x v="0"/>
    <d v="2017-07-11T00:00:00"/>
    <d v="2020-07-11T00:00:00"/>
    <m/>
    <m/>
    <x v="2"/>
    <x v="0"/>
    <m/>
    <s v="Erection of a two-storey replacement dwellinghouse with attic space."/>
    <s v="257 Waldegrave Road_x000d_Twickenham_x000d_TW1 4SY_x000d_"/>
    <s v="TW1 4SY"/>
    <m/>
    <m/>
    <m/>
    <n v="1"/>
    <m/>
    <m/>
    <m/>
    <m/>
    <n v="1"/>
    <m/>
    <m/>
    <m/>
    <m/>
    <m/>
    <n v="1"/>
    <m/>
    <m/>
    <m/>
    <n v="1"/>
    <n v="0"/>
    <n v="0"/>
    <n v="0"/>
    <n v="-1"/>
    <n v="1"/>
    <n v="0"/>
    <n v="0"/>
    <n v="0"/>
    <n v="0"/>
    <m/>
    <n v="0"/>
    <n v="0"/>
    <n v="0"/>
    <n v="0"/>
    <n v="0"/>
    <n v="0"/>
    <m/>
    <m/>
    <m/>
    <m/>
    <m/>
    <n v="0"/>
    <n v="515611"/>
    <n v="172008"/>
    <x v="5"/>
    <m/>
    <m/>
    <m/>
    <m/>
    <m/>
    <m/>
    <m/>
    <m/>
    <m/>
  </r>
  <r>
    <s v="16/0510/FUL"/>
    <x v="1"/>
    <x v="0"/>
    <d v="2018-07-19T00:00:00"/>
    <d v="2021-07-19T00:00:00"/>
    <m/>
    <m/>
    <x v="2"/>
    <x v="0"/>
    <m/>
    <s v="Alterations including construction of a new rear ground floor extension and change of use to commercial space and two 2-bedroom self-contained flats."/>
    <s v="Shanklin House_x000d_70 Sheen Road_x000d_Richmond_x000d_TW9 1UF_x000d_"/>
    <s v="TW9 1UF"/>
    <m/>
    <m/>
    <m/>
    <m/>
    <m/>
    <m/>
    <m/>
    <m/>
    <n v="0"/>
    <m/>
    <m/>
    <n v="2"/>
    <m/>
    <m/>
    <m/>
    <m/>
    <m/>
    <m/>
    <n v="2"/>
    <n v="0"/>
    <n v="2"/>
    <n v="0"/>
    <n v="0"/>
    <n v="0"/>
    <n v="0"/>
    <n v="0"/>
    <n v="0"/>
    <n v="2"/>
    <m/>
    <n v="0"/>
    <n v="0"/>
    <n v="0.5"/>
    <n v="0.5"/>
    <n v="0.5"/>
    <n v="0.5"/>
    <m/>
    <m/>
    <m/>
    <m/>
    <m/>
    <n v="2"/>
    <n v="518392"/>
    <n v="175032"/>
    <x v="4"/>
    <m/>
    <m/>
    <m/>
    <s v="Mixed Use Area"/>
    <s v="Sheen Road"/>
    <m/>
    <m/>
    <s v="Conservation Area"/>
    <s v="CA31 Sheen Road Richmond"/>
  </r>
  <r>
    <s v="16/0606/FUL"/>
    <x v="3"/>
    <x v="0"/>
    <d v="2017-09-05T00:00:00"/>
    <d v="2020-09-05T00:00:00"/>
    <m/>
    <m/>
    <x v="2"/>
    <x v="0"/>
    <m/>
    <s v="Retention of former police station building with partial demolition of the rear wings of the police station and demolition of the rear garages and the construction of 28 residential units (4 x 1 bedroom, 12 x 2 bedroom, 10 x 3 bedroom and 2 x 4 bedroom) a"/>
    <s v="Police Station_x000d_60 - 68 Station Road_x000d_Hampton_x000d__x000d_"/>
    <s v="TW12 2AX"/>
    <m/>
    <m/>
    <m/>
    <m/>
    <m/>
    <m/>
    <m/>
    <m/>
    <n v="0"/>
    <m/>
    <n v="4"/>
    <n v="12"/>
    <n v="10"/>
    <n v="2"/>
    <m/>
    <m/>
    <m/>
    <m/>
    <n v="28"/>
    <n v="4"/>
    <n v="12"/>
    <n v="10"/>
    <n v="2"/>
    <n v="0"/>
    <n v="0"/>
    <n v="0"/>
    <n v="0"/>
    <n v="28"/>
    <m/>
    <n v="0"/>
    <n v="0"/>
    <n v="28"/>
    <n v="0"/>
    <n v="0"/>
    <n v="0"/>
    <m/>
    <m/>
    <m/>
    <m/>
    <m/>
    <n v="28"/>
    <n v="513766"/>
    <n v="169736"/>
    <x v="8"/>
    <m/>
    <m/>
    <m/>
    <s v="Mixed Use Area"/>
    <s v="Station Road"/>
    <m/>
    <m/>
    <s v="Conservation Area"/>
    <s v="CA12 Hampton Village"/>
  </r>
  <r>
    <s v="16/0647/FUL"/>
    <x v="0"/>
    <x v="0"/>
    <d v="2017-05-30T00:00:00"/>
    <d v="2021-04-16T00:00:00"/>
    <m/>
    <m/>
    <x v="2"/>
    <x v="0"/>
    <m/>
    <s v="Demolition of the existing garages and redevelopment of the site with the erection of two residential houses with associated landscaping."/>
    <s v="Garages Rear Of 8_x000d_Atbara Road_x000d_Teddington_x000d__x000d_"/>
    <s v="TW11"/>
    <m/>
    <m/>
    <m/>
    <m/>
    <m/>
    <m/>
    <m/>
    <m/>
    <n v="0"/>
    <m/>
    <m/>
    <m/>
    <n v="2"/>
    <m/>
    <m/>
    <m/>
    <m/>
    <m/>
    <n v="2"/>
    <n v="0"/>
    <n v="0"/>
    <n v="2"/>
    <n v="0"/>
    <n v="0"/>
    <n v="0"/>
    <n v="0"/>
    <n v="0"/>
    <n v="2"/>
    <m/>
    <n v="0"/>
    <n v="0"/>
    <n v="0.5"/>
    <n v="0.5"/>
    <n v="0.5"/>
    <n v="0.5"/>
    <m/>
    <m/>
    <m/>
    <m/>
    <m/>
    <n v="2"/>
    <n v="516905"/>
    <n v="170733"/>
    <x v="3"/>
    <m/>
    <m/>
    <m/>
    <m/>
    <m/>
    <m/>
    <m/>
    <m/>
    <m/>
  </r>
  <r>
    <s v="16/2288/FUL"/>
    <x v="4"/>
    <x v="0"/>
    <d v="2018-08-22T00:00:00"/>
    <d v="2021-08-22T00:00:00"/>
    <d v="2020-09-15T00:00:00"/>
    <m/>
    <x v="2"/>
    <x v="0"/>
    <m/>
    <s v="Extending the existing retail and residential accommodation to provide a mixed use scheme comprising of one retail unit and 7 new residential dwellings and retention of 3 currently existing residential dwellings, incorporating cycle storage, amenity space"/>
    <s v="179 - 181 High Street_x000d_Hampton Hill_x000d__x000d_"/>
    <s v="TW12"/>
    <n v="1"/>
    <n v="2"/>
    <m/>
    <m/>
    <m/>
    <m/>
    <m/>
    <m/>
    <n v="3"/>
    <m/>
    <n v="5"/>
    <n v="5"/>
    <m/>
    <m/>
    <m/>
    <m/>
    <m/>
    <m/>
    <n v="10"/>
    <n v="4"/>
    <n v="3"/>
    <n v="0"/>
    <n v="0"/>
    <n v="0"/>
    <n v="0"/>
    <n v="0"/>
    <n v="0"/>
    <n v="7"/>
    <m/>
    <n v="0"/>
    <n v="3.5"/>
    <n v="3.5"/>
    <n v="0"/>
    <n v="0"/>
    <n v="0"/>
    <m/>
    <m/>
    <m/>
    <m/>
    <m/>
    <n v="7"/>
    <n v="514440"/>
    <n v="171238"/>
    <x v="11"/>
    <m/>
    <m/>
    <m/>
    <s v="Mixed Use Area"/>
    <s v="High Street"/>
    <m/>
    <m/>
    <m/>
    <m/>
  </r>
  <r>
    <s v="16/2704/FUL"/>
    <x v="0"/>
    <x v="0"/>
    <d v="2018-01-25T00:00:00"/>
    <d v="2021-01-25T00:00:00"/>
    <m/>
    <m/>
    <x v="2"/>
    <x v="0"/>
    <m/>
    <s v="Demolition of existing dwelling and erection of a replacement dwelling."/>
    <s v="3 Berwyn Road_x000d_Richmond_x000d_TW10 5BP_x000d_"/>
    <s v="TW10 5BP"/>
    <m/>
    <m/>
    <m/>
    <n v="1"/>
    <m/>
    <m/>
    <m/>
    <m/>
    <n v="1"/>
    <m/>
    <m/>
    <m/>
    <m/>
    <m/>
    <n v="1"/>
    <m/>
    <m/>
    <m/>
    <n v="1"/>
    <n v="0"/>
    <n v="0"/>
    <n v="0"/>
    <n v="-1"/>
    <n v="1"/>
    <n v="0"/>
    <n v="0"/>
    <n v="0"/>
    <n v="0"/>
    <m/>
    <n v="0"/>
    <n v="0"/>
    <n v="0"/>
    <n v="0"/>
    <n v="0"/>
    <n v="0"/>
    <m/>
    <m/>
    <m/>
    <m/>
    <m/>
    <n v="0"/>
    <n v="519633"/>
    <n v="174966"/>
    <x v="4"/>
    <m/>
    <m/>
    <m/>
    <m/>
    <m/>
    <m/>
    <m/>
    <s v="Conservation Area"/>
    <s v="CA69 Sheen Common Drive"/>
  </r>
  <r>
    <s v="16/2736/FUL"/>
    <x v="0"/>
    <x v="0"/>
    <d v="2017-05-26T00:00:00"/>
    <d v="2020-05-26T00:00:00"/>
    <m/>
    <m/>
    <x v="2"/>
    <x v="0"/>
    <m/>
    <s v="Demolition of existing detached dwelling and construction of new 4 bed house."/>
    <s v="Downlands_x000d_Petersham Close_x000d_Petersham_x000d_Richmond_x000d_TW10 7DZ_x000d_"/>
    <s v="TW10 7DZ"/>
    <m/>
    <m/>
    <m/>
    <n v="1"/>
    <m/>
    <m/>
    <m/>
    <m/>
    <n v="1"/>
    <m/>
    <m/>
    <m/>
    <m/>
    <m/>
    <n v="1"/>
    <m/>
    <m/>
    <m/>
    <n v="1"/>
    <n v="0"/>
    <n v="0"/>
    <n v="0"/>
    <n v="-1"/>
    <n v="1"/>
    <n v="0"/>
    <n v="0"/>
    <n v="0"/>
    <n v="0"/>
    <m/>
    <n v="0"/>
    <n v="0"/>
    <n v="0"/>
    <n v="0"/>
    <n v="0"/>
    <n v="0"/>
    <m/>
    <m/>
    <m/>
    <m/>
    <m/>
    <n v="0"/>
    <n v="517972"/>
    <n v="172874"/>
    <x v="15"/>
    <m/>
    <m/>
    <m/>
    <m/>
    <m/>
    <m/>
    <m/>
    <m/>
    <m/>
  </r>
  <r>
    <s v="16/2822/FUL"/>
    <x v="4"/>
    <x v="0"/>
    <d v="2017-05-11T00:00:00"/>
    <d v="2020-05-11T00:00:00"/>
    <m/>
    <m/>
    <x v="2"/>
    <x v="0"/>
    <m/>
    <s v="Half hip to gable roof extension, enlargement of existing dormer roof extension, erection of an additional dormer roof extension on rear roof slope and alteration to roof of single storey rear extension to provide a roof terrace to faciltate the conversion of existing dwellinghouse to 3No. self-contained residential flats (1 x 3 bedroom, 1 x 2 bed and 1 x 1 bed) and associated hard and soft landscaping, cycle  and refuse and off-street parking."/>
    <s v="48 Sixth Cross Road Twickenham TW2 5PD"/>
    <m/>
    <m/>
    <m/>
    <m/>
    <m/>
    <m/>
    <m/>
    <n v="1"/>
    <m/>
    <n v="1"/>
    <m/>
    <n v="1"/>
    <n v="1"/>
    <n v="1"/>
    <m/>
    <m/>
    <m/>
    <m/>
    <m/>
    <n v="3"/>
    <n v="1"/>
    <n v="1"/>
    <n v="1"/>
    <n v="0"/>
    <n v="0"/>
    <n v="0"/>
    <n v="-1"/>
    <n v="0"/>
    <n v="2"/>
    <m/>
    <n v="0"/>
    <n v="0"/>
    <n v="0.5"/>
    <n v="0.5"/>
    <n v="0.5"/>
    <n v="0.5"/>
    <m/>
    <m/>
    <m/>
    <m/>
    <m/>
    <n v="2"/>
    <n v="514331"/>
    <n v="172184"/>
    <x v="2"/>
    <m/>
    <m/>
    <m/>
    <m/>
    <m/>
    <m/>
    <m/>
    <m/>
    <m/>
  </r>
  <r>
    <s v="16/4384/FUL"/>
    <x v="0"/>
    <x v="0"/>
    <d v="2017-10-27T00:00:00"/>
    <d v="2020-10-27T00:00:00"/>
    <m/>
    <m/>
    <x v="2"/>
    <x v="0"/>
    <m/>
    <s v="Demolition of the existing garage and erection of a new partially sunken one-bedroom, single-storey dwelling, and provision of a new boundary wall and entrance gate."/>
    <s v="Land Junction Of North Worple Way And Wrights Walk Rear Of 31 Alder Road, Mortlake"/>
    <s v="SW14"/>
    <m/>
    <m/>
    <m/>
    <m/>
    <m/>
    <m/>
    <m/>
    <m/>
    <n v="0"/>
    <m/>
    <n v="1"/>
    <m/>
    <m/>
    <m/>
    <m/>
    <m/>
    <m/>
    <m/>
    <n v="1"/>
    <n v="1"/>
    <n v="0"/>
    <n v="0"/>
    <n v="0"/>
    <n v="0"/>
    <n v="0"/>
    <n v="0"/>
    <n v="0"/>
    <n v="1"/>
    <m/>
    <n v="0"/>
    <n v="0"/>
    <n v="0.25"/>
    <n v="0.25"/>
    <n v="0.25"/>
    <n v="0.25"/>
    <m/>
    <m/>
    <m/>
    <m/>
    <m/>
    <n v="1"/>
    <n v="520624"/>
    <n v="175780"/>
    <x v="6"/>
    <s v="Garden Land"/>
    <m/>
    <m/>
    <m/>
    <m/>
    <m/>
    <m/>
    <s v="Conservation Area"/>
    <s v="CA33 Mortlake"/>
  </r>
  <r>
    <s v="16/4553/FUL"/>
    <x v="0"/>
    <x v="0"/>
    <d v="2018-05-31T00:00:00"/>
    <d v="2021-05-31T00:00:00"/>
    <m/>
    <m/>
    <x v="2"/>
    <x v="0"/>
    <s v="N"/>
    <s v="Demolition of existing buildings on site and erection 2 buildings (two to four-storeys in height), set around outer and inner landscaped courtyards, comprising of 6 townhouses, 35 flats and two commercial units on the High Street frontage (110 sq.m GIA) a"/>
    <s v="63 - 71 High Street_x000d_Hampton Hill_x000d__x000d_"/>
    <s v="TW12 1NH"/>
    <n v="2"/>
    <n v="1"/>
    <m/>
    <m/>
    <m/>
    <m/>
    <m/>
    <m/>
    <n v="3"/>
    <m/>
    <n v="19"/>
    <n v="17"/>
    <n v="5"/>
    <m/>
    <m/>
    <m/>
    <m/>
    <m/>
    <n v="41"/>
    <n v="17"/>
    <n v="16"/>
    <n v="5"/>
    <n v="0"/>
    <n v="0"/>
    <n v="0"/>
    <n v="0"/>
    <n v="0"/>
    <n v="38"/>
    <m/>
    <n v="0"/>
    <n v="0"/>
    <n v="0"/>
    <n v="0"/>
    <n v="0"/>
    <n v="0"/>
    <n v="7.6"/>
    <n v="7.6"/>
    <n v="7.6"/>
    <n v="7.6"/>
    <n v="7.6"/>
    <n v="38"/>
    <n v="514240"/>
    <n v="170830"/>
    <x v="11"/>
    <m/>
    <m/>
    <m/>
    <s v="Mixed Use Area"/>
    <s v="High Street"/>
    <m/>
    <m/>
    <s v="Conservation Area"/>
    <s v="CA38 High Street Hampton Hill"/>
  </r>
  <r>
    <s v="16/4587/FUL"/>
    <x v="1"/>
    <x v="0"/>
    <d v="2017-06-27T00:00:00"/>
    <d v="2020-06-27T00:00:00"/>
    <d v="2020-06-02T00:00:00"/>
    <m/>
    <x v="2"/>
    <x v="0"/>
    <m/>
    <s v="Proposed conversion of garden studio to one person residential studio incorporating the extension of depth and height of existing garden studio in order to create a first floor level, with installation of a rooflight to the eastern roofslope and a rooflig"/>
    <s v="24 Christchurch Road_x000d_East Sheen_x000d_London_x000d_SW14 7AA"/>
    <s v="SW14 7AA"/>
    <m/>
    <m/>
    <m/>
    <m/>
    <m/>
    <m/>
    <m/>
    <m/>
    <n v="0"/>
    <m/>
    <n v="1"/>
    <m/>
    <m/>
    <m/>
    <m/>
    <m/>
    <m/>
    <m/>
    <n v="1"/>
    <n v="1"/>
    <n v="0"/>
    <n v="0"/>
    <n v="0"/>
    <n v="0"/>
    <n v="0"/>
    <n v="0"/>
    <n v="0"/>
    <n v="1"/>
    <m/>
    <n v="0"/>
    <n v="1"/>
    <n v="0"/>
    <n v="0"/>
    <n v="0"/>
    <n v="0"/>
    <m/>
    <m/>
    <m/>
    <m/>
    <m/>
    <n v="1"/>
    <n v="520283"/>
    <n v="175017"/>
    <x v="7"/>
    <m/>
    <m/>
    <m/>
    <m/>
    <m/>
    <m/>
    <m/>
    <m/>
    <m/>
  </r>
  <r>
    <s v="17/0315/FUL"/>
    <x v="3"/>
    <x v="0"/>
    <d v="2018-06-12T00:00:00"/>
    <d v="2021-06-12T00:00:00"/>
    <m/>
    <m/>
    <x v="2"/>
    <x v="0"/>
    <m/>
    <s v="Part change of use of ground and first floor from B1 office use to C3  residential use to provide 2 x 2 bedroom duplex units.  Alterations and extension to facilitate the provision of additional B1 office use and C3 residential use at second floor level ("/>
    <s v="Willoughby House_x000d_439 Richmond Road_x000d_Twickenham_x000d_TW1 2AG_x000d_"/>
    <s v="TW1 2AG"/>
    <m/>
    <m/>
    <m/>
    <m/>
    <m/>
    <m/>
    <m/>
    <m/>
    <n v="0"/>
    <m/>
    <n v="3"/>
    <n v="1"/>
    <m/>
    <m/>
    <m/>
    <m/>
    <m/>
    <m/>
    <n v="4"/>
    <n v="3"/>
    <n v="1"/>
    <n v="0"/>
    <n v="0"/>
    <n v="0"/>
    <n v="0"/>
    <n v="0"/>
    <n v="0"/>
    <n v="4"/>
    <m/>
    <n v="0"/>
    <n v="0"/>
    <n v="1"/>
    <n v="1"/>
    <n v="1"/>
    <n v="1"/>
    <m/>
    <m/>
    <m/>
    <m/>
    <m/>
    <n v="4"/>
    <n v="517591"/>
    <n v="174434"/>
    <x v="10"/>
    <m/>
    <m/>
    <m/>
    <s v="Mixed Use Area"/>
    <s v="East Twickenham"/>
    <m/>
    <m/>
    <s v="Conservation Area"/>
    <s v="CA4 Richmond Riverside"/>
  </r>
  <r>
    <s v="17/0341/GPD13"/>
    <x v="1"/>
    <x v="1"/>
    <d v="2017-04-24T00:00:00"/>
    <d v="2020-04-24T00:00:00"/>
    <m/>
    <m/>
    <x v="2"/>
    <x v="0"/>
    <m/>
    <s v="Change of use from retail (Use Class A1) to 1 residential unit (Use Class C3) with associated cycle and refuse provision."/>
    <s v="Teddington Garden Centre_x000d_Station Road_x000d_Teddington_x000d_TW11 9AA_x000d_"/>
    <s v="TW11 9AA"/>
    <m/>
    <m/>
    <m/>
    <m/>
    <m/>
    <m/>
    <m/>
    <m/>
    <n v="0"/>
    <m/>
    <m/>
    <m/>
    <n v="1"/>
    <m/>
    <m/>
    <m/>
    <m/>
    <m/>
    <n v="1"/>
    <n v="0"/>
    <n v="0"/>
    <n v="1"/>
    <n v="0"/>
    <n v="0"/>
    <n v="0"/>
    <n v="0"/>
    <n v="0"/>
    <n v="1"/>
    <m/>
    <n v="0"/>
    <n v="0"/>
    <n v="0.25"/>
    <n v="0.25"/>
    <n v="0.25"/>
    <n v="0.25"/>
    <m/>
    <m/>
    <m/>
    <m/>
    <m/>
    <n v="1"/>
    <n v="516015"/>
    <n v="170858"/>
    <x v="0"/>
    <m/>
    <s v="Teddington"/>
    <m/>
    <m/>
    <m/>
    <m/>
    <m/>
    <m/>
    <m/>
  </r>
  <r>
    <s v="17/0346/FUL"/>
    <x v="2"/>
    <x v="0"/>
    <d v="2017-08-31T00:00:00"/>
    <d v="2020-08-31T00:00:00"/>
    <m/>
    <m/>
    <x v="2"/>
    <x v="0"/>
    <m/>
    <s v="Subdivision of house (C3) to form 2 no. 2-bed flats (C3), ground floor infill side extension, to the rear of property, with windows to north elevation and hip to gable roof extension, rear facing dormer, including 2 No. front facing rooflights, following"/>
    <s v="49 Manor Road_x000d_Richmond_x000d_TW9 1YA"/>
    <s v="TW9 1YA"/>
    <m/>
    <m/>
    <m/>
    <n v="1"/>
    <m/>
    <m/>
    <m/>
    <m/>
    <n v="1"/>
    <m/>
    <m/>
    <n v="2"/>
    <m/>
    <m/>
    <m/>
    <m/>
    <m/>
    <m/>
    <n v="2"/>
    <n v="0"/>
    <n v="2"/>
    <n v="0"/>
    <n v="-1"/>
    <n v="0"/>
    <n v="0"/>
    <n v="0"/>
    <n v="0"/>
    <n v="1"/>
    <m/>
    <n v="0"/>
    <n v="0"/>
    <n v="0.25"/>
    <n v="0.25"/>
    <n v="0.25"/>
    <n v="0.25"/>
    <m/>
    <m/>
    <m/>
    <m/>
    <m/>
    <n v="1"/>
    <n v="519014"/>
    <n v="175279"/>
    <x v="12"/>
    <m/>
    <m/>
    <m/>
    <m/>
    <m/>
    <m/>
    <m/>
    <m/>
    <m/>
  </r>
  <r>
    <s v="17/0600/FUL"/>
    <x v="1"/>
    <x v="0"/>
    <d v="2018-01-19T00:00:00"/>
    <d v="2021-01-19T00:00:00"/>
    <m/>
    <m/>
    <x v="2"/>
    <x v="0"/>
    <m/>
    <s v="Change of use from existing open hall (D1) into 2 x residential apartments (C3). _x000d_"/>
    <s v="2-4 _x000d_Heath Road_x000d_Twickenham_x000d_TW1 4BZ"/>
    <s v="TW1 4BZ"/>
    <m/>
    <m/>
    <m/>
    <m/>
    <m/>
    <m/>
    <m/>
    <m/>
    <n v="0"/>
    <m/>
    <n v="2"/>
    <m/>
    <m/>
    <m/>
    <m/>
    <m/>
    <m/>
    <m/>
    <n v="2"/>
    <n v="2"/>
    <n v="0"/>
    <n v="0"/>
    <n v="0"/>
    <n v="0"/>
    <n v="0"/>
    <n v="0"/>
    <n v="0"/>
    <n v="2"/>
    <m/>
    <n v="0"/>
    <n v="0"/>
    <n v="0.5"/>
    <n v="0.5"/>
    <n v="0.5"/>
    <n v="0.5"/>
    <m/>
    <m/>
    <m/>
    <m/>
    <m/>
    <n v="2"/>
    <n v="516126"/>
    <n v="173185"/>
    <x v="10"/>
    <m/>
    <s v="Twickenham"/>
    <m/>
    <m/>
    <m/>
    <m/>
    <m/>
    <m/>
    <m/>
  </r>
  <r>
    <s v="17/0788/FUL"/>
    <x v="0"/>
    <x v="0"/>
    <d v="2017-11-17T00:00:00"/>
    <d v="2021-01-08T00:00:00"/>
    <m/>
    <m/>
    <x v="2"/>
    <x v="0"/>
    <m/>
    <s v="Demolition of lock up garages to provide 1 no. detached 4 bedroom dwellinghouse with associated parking, cycle and refuse stores, new boundary fence and hard and soft landscaping."/>
    <s v="High Wigsell_x000a_35 Twickenham Road_x000a_Teddington_x000a__x000a_"/>
    <s v="TW11"/>
    <m/>
    <m/>
    <m/>
    <m/>
    <m/>
    <m/>
    <m/>
    <m/>
    <n v="0"/>
    <m/>
    <m/>
    <m/>
    <m/>
    <n v="1"/>
    <m/>
    <m/>
    <m/>
    <m/>
    <n v="1"/>
    <n v="0"/>
    <n v="0"/>
    <n v="0"/>
    <n v="1"/>
    <n v="0"/>
    <n v="0"/>
    <n v="0"/>
    <n v="0"/>
    <n v="1"/>
    <m/>
    <n v="0"/>
    <n v="0"/>
    <n v="0.25"/>
    <n v="0.25"/>
    <n v="0.25"/>
    <n v="0.25"/>
    <m/>
    <m/>
    <m/>
    <m/>
    <m/>
    <n v="1"/>
    <n v="516399"/>
    <n v="171470"/>
    <x v="0"/>
    <m/>
    <m/>
    <m/>
    <m/>
    <m/>
    <m/>
    <m/>
    <m/>
    <m/>
  </r>
  <r>
    <s v="17/0798/FUL"/>
    <x v="0"/>
    <x v="0"/>
    <d v="2017-12-01T00:00:00"/>
    <d v="2020-12-01T00:00:00"/>
    <m/>
    <m/>
    <x v="2"/>
    <x v="0"/>
    <m/>
    <s v="Demolition of the existing detached bungalow and all outbuildings on site together with infill of the existing ponds to facilitate the construction of a pair of four bedroom semi-detached houses with associated boundary treatment, car parking, bin storage"/>
    <s v="25 Cedar Avenue_x000d_Twickenham_x000d_TW2 7HD"/>
    <s v="TW2 7HD"/>
    <m/>
    <m/>
    <m/>
    <n v="1"/>
    <m/>
    <m/>
    <m/>
    <m/>
    <n v="1"/>
    <m/>
    <m/>
    <m/>
    <m/>
    <n v="2"/>
    <m/>
    <m/>
    <m/>
    <m/>
    <n v="2"/>
    <n v="0"/>
    <n v="0"/>
    <n v="0"/>
    <n v="1"/>
    <n v="0"/>
    <n v="0"/>
    <n v="0"/>
    <n v="0"/>
    <n v="1"/>
    <m/>
    <n v="0"/>
    <n v="0"/>
    <n v="0.25"/>
    <n v="0.25"/>
    <n v="0.25"/>
    <n v="0.25"/>
    <m/>
    <m/>
    <m/>
    <m/>
    <m/>
    <n v="1"/>
    <n v="514058"/>
    <n v="174409"/>
    <x v="13"/>
    <s v="Garden Land"/>
    <m/>
    <m/>
    <m/>
    <m/>
    <m/>
    <m/>
    <m/>
    <m/>
  </r>
  <r>
    <s v="17/1033/FUL"/>
    <x v="0"/>
    <x v="0"/>
    <d v="2017-09-19T00:00:00"/>
    <d v="2021-05-23T00:00:00"/>
    <m/>
    <m/>
    <x v="2"/>
    <x v="0"/>
    <m/>
    <s v="Demolition of Lockcorp House; erection of a part four, part five-storey building comprising  9 no. student cluster flats (49 study/bedrooms in total); three car parking spaces including one disabled space, ancillary cycle and refuse storage and landscapin"/>
    <s v="Lockcorp House _x000a_75 Norcutt Road_x000a_Twickenham_x000a_TW2 6SR"/>
    <s v="TW2 6SR"/>
    <m/>
    <m/>
    <m/>
    <m/>
    <m/>
    <m/>
    <m/>
    <m/>
    <n v="0"/>
    <m/>
    <m/>
    <m/>
    <m/>
    <n v="1"/>
    <n v="3"/>
    <n v="5"/>
    <m/>
    <m/>
    <n v="9"/>
    <n v="0"/>
    <n v="0"/>
    <n v="0"/>
    <n v="1"/>
    <n v="3"/>
    <n v="5"/>
    <n v="0"/>
    <n v="0"/>
    <n v="9"/>
    <m/>
    <n v="0"/>
    <n v="0"/>
    <n v="2.25"/>
    <n v="2.25"/>
    <n v="2.25"/>
    <n v="2.25"/>
    <m/>
    <m/>
    <m/>
    <m/>
    <m/>
    <n v="9"/>
    <n v="515337"/>
    <n v="173383"/>
    <x v="5"/>
    <m/>
    <m/>
    <m/>
    <m/>
    <m/>
    <m/>
    <m/>
    <m/>
    <m/>
  </r>
  <r>
    <s v="17/1139/GPD15"/>
    <x v="1"/>
    <x v="1"/>
    <d v="2017-05-31T00:00:00"/>
    <d v="2020-05-31T00:00:00"/>
    <m/>
    <m/>
    <x v="2"/>
    <x v="0"/>
    <m/>
    <s v="Change of use of property from B1a (office use) to C3 (residential) to provide 1 no. 4 bedroom dwellinghouse"/>
    <s v="108 Sherland Road Twickenham "/>
    <s v="TW1 4HD"/>
    <m/>
    <m/>
    <m/>
    <m/>
    <m/>
    <m/>
    <m/>
    <m/>
    <n v="0"/>
    <m/>
    <m/>
    <m/>
    <m/>
    <n v="1"/>
    <m/>
    <m/>
    <m/>
    <m/>
    <n v="1"/>
    <n v="0"/>
    <n v="0"/>
    <n v="0"/>
    <n v="1"/>
    <n v="0"/>
    <n v="0"/>
    <n v="0"/>
    <n v="0"/>
    <n v="1"/>
    <m/>
    <n v="0"/>
    <n v="0.33333333333333331"/>
    <n v="0.33333333333333331"/>
    <n v="0.33333333333333331"/>
    <n v="0"/>
    <n v="0"/>
    <m/>
    <m/>
    <m/>
    <m/>
    <m/>
    <n v="1"/>
    <n v="516024"/>
    <n v="173277"/>
    <x v="10"/>
    <m/>
    <m/>
    <m/>
    <m/>
    <m/>
    <m/>
    <m/>
    <m/>
    <m/>
  </r>
  <r>
    <s v="17/1390/FUL"/>
    <x v="0"/>
    <x v="0"/>
    <d v="2018-11-15T00:00:00"/>
    <d v="2022-05-14T00:00:00"/>
    <m/>
    <m/>
    <x v="2"/>
    <x v="0"/>
    <m/>
    <s v="Demolition of builders storage building and erection of one bedroomed  2 storey detached dwellinghouse with basement."/>
    <s v="Land Adjacent To No 1_x000d_South Western Road_x000d_Twickenham_x000d__x000d_"/>
    <s v="TW1 1LG"/>
    <m/>
    <m/>
    <m/>
    <m/>
    <m/>
    <m/>
    <m/>
    <m/>
    <n v="0"/>
    <m/>
    <n v="1"/>
    <m/>
    <m/>
    <m/>
    <m/>
    <m/>
    <m/>
    <m/>
    <n v="1"/>
    <n v="1"/>
    <n v="0"/>
    <n v="0"/>
    <n v="0"/>
    <n v="0"/>
    <n v="0"/>
    <n v="0"/>
    <n v="0"/>
    <n v="1"/>
    <m/>
    <n v="0"/>
    <n v="0"/>
    <n v="0.25"/>
    <n v="0.25"/>
    <n v="0.25"/>
    <n v="0.25"/>
    <m/>
    <m/>
    <m/>
    <m/>
    <m/>
    <n v="1"/>
    <n v="516598"/>
    <n v="174330"/>
    <x v="1"/>
    <m/>
    <m/>
    <m/>
    <m/>
    <m/>
    <m/>
    <m/>
    <m/>
    <m/>
  </r>
  <r>
    <s v="17/1550/FUL"/>
    <x v="0"/>
    <x v="0"/>
    <d v="2018-07-09T00:00:00"/>
    <d v="2021-07-09T00:00:00"/>
    <m/>
    <m/>
    <x v="2"/>
    <x v="0"/>
    <m/>
    <s v="Demolition of existing building and erection of part two storey/part four storey building to provide 9 residential flats (6 x one bed, 3 x two bed) and new basement level to facilitate provision of underground parking and associated hard and soft landscap"/>
    <s v="The Firs_x000d_Church Grove_x000d_Hampton Wick_x000d_Kingston Upon Thames_x000d_KT1 4AL_x000d_"/>
    <s v="KT1 4AL"/>
    <m/>
    <m/>
    <n v="1"/>
    <m/>
    <m/>
    <m/>
    <m/>
    <m/>
    <n v="1"/>
    <m/>
    <n v="6"/>
    <n v="3"/>
    <m/>
    <m/>
    <m/>
    <m/>
    <m/>
    <m/>
    <n v="9"/>
    <n v="6"/>
    <n v="3"/>
    <n v="-1"/>
    <n v="0"/>
    <n v="0"/>
    <n v="0"/>
    <n v="0"/>
    <n v="0"/>
    <n v="8"/>
    <m/>
    <n v="0"/>
    <n v="0"/>
    <n v="2"/>
    <n v="2"/>
    <n v="2"/>
    <n v="2"/>
    <m/>
    <m/>
    <m/>
    <m/>
    <m/>
    <n v="8"/>
    <n v="517393"/>
    <n v="169491"/>
    <x v="3"/>
    <m/>
    <m/>
    <m/>
    <m/>
    <m/>
    <m/>
    <m/>
    <s v="Conservation Area"/>
    <s v="CA18 Hampton Wick"/>
  </r>
  <r>
    <s v="17/1782/FUL"/>
    <x v="0"/>
    <x v="0"/>
    <d v="2019-01-14T00:00:00"/>
    <d v="2022-01-14T00:00:00"/>
    <m/>
    <m/>
    <x v="2"/>
    <x v="0"/>
    <m/>
    <s v="Demolition of existing two-storey detached dwelling with basement, and construction of new three-storey detached dwelling with basement."/>
    <s v="8 Atbara Road_x000d_Teddington_x000d_TW11 9PD"/>
    <s v="TW11 9PD"/>
    <m/>
    <n v="1"/>
    <m/>
    <m/>
    <m/>
    <m/>
    <m/>
    <m/>
    <n v="1"/>
    <m/>
    <m/>
    <m/>
    <m/>
    <m/>
    <n v="1"/>
    <m/>
    <m/>
    <m/>
    <n v="1"/>
    <n v="0"/>
    <n v="-1"/>
    <n v="0"/>
    <n v="0"/>
    <n v="1"/>
    <n v="0"/>
    <n v="0"/>
    <n v="0"/>
    <n v="0"/>
    <m/>
    <n v="0"/>
    <n v="0"/>
    <n v="0"/>
    <n v="0"/>
    <n v="0"/>
    <n v="0"/>
    <m/>
    <m/>
    <m/>
    <m/>
    <m/>
    <n v="0"/>
    <n v="516874"/>
    <n v="170756"/>
    <x v="3"/>
    <m/>
    <m/>
    <m/>
    <m/>
    <m/>
    <m/>
    <m/>
    <m/>
    <m/>
  </r>
  <r>
    <s v="17/2314/FUL"/>
    <x v="0"/>
    <x v="0"/>
    <d v="2018-04-26T00:00:00"/>
    <d v="2021-04-26T00:00:00"/>
    <m/>
    <m/>
    <x v="2"/>
    <x v="0"/>
    <m/>
    <s v="Demolition of the existing two storey detached house and replacement with a new  built three storey detached house with basement with associated hard and soft landscaping."/>
    <s v="34 Courtlands Avenue_x000d_Hampton_x000d_TW12 3NT"/>
    <s v="TW12 3NT"/>
    <m/>
    <m/>
    <m/>
    <n v="1"/>
    <m/>
    <m/>
    <m/>
    <m/>
    <n v="1"/>
    <m/>
    <m/>
    <m/>
    <m/>
    <m/>
    <n v="1"/>
    <m/>
    <m/>
    <m/>
    <n v="1"/>
    <n v="0"/>
    <n v="0"/>
    <n v="0"/>
    <n v="-1"/>
    <n v="1"/>
    <n v="0"/>
    <n v="0"/>
    <n v="0"/>
    <n v="0"/>
    <m/>
    <n v="0"/>
    <n v="0"/>
    <n v="0"/>
    <n v="0"/>
    <n v="0"/>
    <n v="0"/>
    <m/>
    <m/>
    <m/>
    <m/>
    <m/>
    <n v="0"/>
    <n v="512725"/>
    <n v="170606"/>
    <x v="16"/>
    <m/>
    <m/>
    <m/>
    <m/>
    <m/>
    <m/>
    <m/>
    <m/>
    <m/>
  </r>
  <r>
    <s v="17/2532/GPD15"/>
    <x v="1"/>
    <x v="1"/>
    <d v="2017-08-09T00:00:00"/>
    <d v="2020-08-09T00:00:00"/>
    <d v="2020-06-01T00:00:00"/>
    <m/>
    <x v="2"/>
    <x v="0"/>
    <m/>
    <s v="Prior approval for the change of use from office B1(a) to residential (C3) in the form of 5 no. units."/>
    <s v="The Coach House 273A Sandycombe Road Richmond TW9 3LU"/>
    <s v="TW9 3LU"/>
    <m/>
    <m/>
    <m/>
    <m/>
    <m/>
    <m/>
    <m/>
    <m/>
    <n v="0"/>
    <m/>
    <n v="5"/>
    <m/>
    <m/>
    <m/>
    <m/>
    <m/>
    <m/>
    <m/>
    <n v="5"/>
    <n v="5"/>
    <n v="0"/>
    <n v="0"/>
    <n v="0"/>
    <n v="0"/>
    <n v="0"/>
    <n v="0"/>
    <n v="0"/>
    <n v="5"/>
    <m/>
    <n v="0"/>
    <n v="5"/>
    <n v="0"/>
    <n v="0"/>
    <n v="0"/>
    <n v="0"/>
    <m/>
    <m/>
    <m/>
    <m/>
    <m/>
    <n v="5"/>
    <n v="519113"/>
    <n v="176411"/>
    <x v="9"/>
    <m/>
    <m/>
    <m/>
    <m/>
    <m/>
    <m/>
    <m/>
    <s v="Conservation Area"/>
    <s v="CA15 Kew Gardens Kew"/>
  </r>
  <r>
    <s v="17/2586/FUL"/>
    <x v="2"/>
    <x v="0"/>
    <d v="2017-09-27T00:00:00"/>
    <d v="2020-09-27T00:00:00"/>
    <m/>
    <m/>
    <x v="2"/>
    <x v="0"/>
    <m/>
    <s v="Change of use from 2 no. flats back to a single family dwelling house."/>
    <s v="First Floor Flat_x000d_18 Percival Road_x000d_East Sheen_x000d_London_x000d_SW14 7QE_x000d_"/>
    <s v="SW14 7QE"/>
    <n v="2"/>
    <m/>
    <m/>
    <m/>
    <m/>
    <m/>
    <m/>
    <m/>
    <n v="2"/>
    <m/>
    <m/>
    <m/>
    <n v="1"/>
    <m/>
    <m/>
    <m/>
    <m/>
    <m/>
    <n v="1"/>
    <n v="-2"/>
    <n v="0"/>
    <n v="1"/>
    <n v="0"/>
    <n v="0"/>
    <n v="0"/>
    <n v="0"/>
    <n v="0"/>
    <n v="-1"/>
    <m/>
    <n v="0"/>
    <n v="0"/>
    <n v="-0.25"/>
    <n v="-0.25"/>
    <n v="-0.25"/>
    <n v="-0.25"/>
    <m/>
    <m/>
    <m/>
    <m/>
    <m/>
    <n v="-1"/>
    <n v="520088"/>
    <n v="175029"/>
    <x v="7"/>
    <m/>
    <m/>
    <m/>
    <m/>
    <m/>
    <m/>
    <m/>
    <m/>
    <m/>
  </r>
  <r>
    <s v="17/2597/GPD15"/>
    <x v="1"/>
    <x v="1"/>
    <d v="2017-08-30T00:00:00"/>
    <d v="2020-08-30T00:00:00"/>
    <m/>
    <m/>
    <x v="2"/>
    <x v="0"/>
    <m/>
    <s v="Conversion of East and West House from B1(a) offices to 1 x 2 bed house (C3) (West House) and 2 x 2 bed flats (C3) (East House)."/>
    <s v="West House 108 And East House 109_x000d_South Worple Way_x000d_East Sheen_x000d_London_x000d__x000d_"/>
    <s v="SW14 8ND"/>
    <m/>
    <m/>
    <m/>
    <m/>
    <m/>
    <m/>
    <m/>
    <m/>
    <n v="0"/>
    <m/>
    <m/>
    <n v="3"/>
    <m/>
    <m/>
    <m/>
    <m/>
    <m/>
    <m/>
    <n v="3"/>
    <n v="0"/>
    <n v="3"/>
    <n v="0"/>
    <n v="0"/>
    <n v="0"/>
    <n v="0"/>
    <n v="0"/>
    <n v="0"/>
    <n v="3"/>
    <m/>
    <n v="0"/>
    <n v="0"/>
    <n v="0.75"/>
    <n v="0.75"/>
    <n v="0.75"/>
    <n v="0.75"/>
    <m/>
    <m/>
    <m/>
    <m/>
    <m/>
    <n v="3"/>
    <n v="520541"/>
    <n v="175760"/>
    <x v="7"/>
    <m/>
    <s v="East Sheen"/>
    <m/>
    <m/>
    <m/>
    <m/>
    <m/>
    <m/>
    <m/>
  </r>
  <r>
    <s v="17/2680/FUL"/>
    <x v="0"/>
    <x v="0"/>
    <d v="2017-12-11T00:00:00"/>
    <d v="2021-03-14T00:00:00"/>
    <d v="2020-06-01T00:00:00"/>
    <m/>
    <x v="2"/>
    <x v="0"/>
    <m/>
    <s v="Demolition of existing detached house and erection of 3no. new residential units comprising 2x 4 bedroom semi detached houses and 1x detached 5 bedroom house, together with associated landscaping and parking"/>
    <s v="4 Warwick Close_x000d_Hampton_x000d_TW12 2TY"/>
    <s v="TW12 2TY"/>
    <m/>
    <m/>
    <m/>
    <n v="1"/>
    <m/>
    <m/>
    <m/>
    <m/>
    <n v="1"/>
    <m/>
    <m/>
    <m/>
    <m/>
    <n v="2"/>
    <n v="1"/>
    <m/>
    <m/>
    <m/>
    <n v="3"/>
    <n v="0"/>
    <n v="0"/>
    <n v="0"/>
    <n v="1"/>
    <n v="1"/>
    <n v="0"/>
    <n v="0"/>
    <n v="0"/>
    <n v="2"/>
    <m/>
    <n v="0"/>
    <n v="1"/>
    <n v="1"/>
    <n v="0"/>
    <n v="0"/>
    <n v="0"/>
    <m/>
    <m/>
    <m/>
    <m/>
    <m/>
    <n v="2"/>
    <n v="514169"/>
    <n v="170167"/>
    <x v="8"/>
    <s v="Garden Land"/>
    <m/>
    <m/>
    <m/>
    <m/>
    <m/>
    <m/>
    <m/>
    <m/>
  </r>
  <r>
    <s v="17/2693/GPD15"/>
    <x v="1"/>
    <x v="1"/>
    <d v="2017-09-08T00:00:00"/>
    <d v="2020-09-08T00:00:00"/>
    <m/>
    <m/>
    <x v="2"/>
    <x v="0"/>
    <m/>
    <s v="Change of use from Class B1(a) office to Class C3 residential."/>
    <s v="246 Upper Richmond Road West_x000d_East Sheen_x000d_London_x000d_SW14 8AG_x000d_"/>
    <s v="SW14 8AG"/>
    <m/>
    <m/>
    <m/>
    <m/>
    <m/>
    <m/>
    <m/>
    <m/>
    <n v="0"/>
    <m/>
    <n v="1"/>
    <m/>
    <m/>
    <m/>
    <m/>
    <m/>
    <m/>
    <m/>
    <n v="1"/>
    <n v="1"/>
    <n v="0"/>
    <n v="0"/>
    <n v="0"/>
    <n v="0"/>
    <n v="0"/>
    <n v="0"/>
    <n v="0"/>
    <n v="1"/>
    <m/>
    <n v="0"/>
    <n v="0"/>
    <n v="0.25"/>
    <n v="0.25"/>
    <n v="0.25"/>
    <n v="0.25"/>
    <m/>
    <m/>
    <m/>
    <m/>
    <m/>
    <n v="1"/>
    <n v="520531"/>
    <n v="175416"/>
    <x v="7"/>
    <m/>
    <s v="East Sheen"/>
    <m/>
    <m/>
    <m/>
    <m/>
    <m/>
    <s v="Conservation Area"/>
    <s v="CA70 Sheen Lane Mortlake"/>
  </r>
  <r>
    <s v="17/2872/FUL"/>
    <x v="0"/>
    <x v="0"/>
    <d v="2019-05-30T00:00:00"/>
    <d v="2022-05-20T00:00:00"/>
    <m/>
    <m/>
    <x v="2"/>
    <x v="0"/>
    <m/>
    <s v="33 Wensleydale Road Hampton TW12 2LP"/>
    <s v="Erection of a one and a half storey, three-bedroom house in the rear garden of 33 (sited to rear of 35-35a) Wensleydale Road, with accommodation at basement level, associated hard and soft landscaping, 4 no.parking, refuse/recycling and cycle stores."/>
    <s v="TW12 2LP"/>
    <m/>
    <m/>
    <m/>
    <m/>
    <m/>
    <m/>
    <m/>
    <m/>
    <n v="0"/>
    <m/>
    <m/>
    <m/>
    <n v="1"/>
    <m/>
    <m/>
    <m/>
    <m/>
    <m/>
    <n v="1"/>
    <n v="0"/>
    <n v="0"/>
    <n v="1"/>
    <n v="0"/>
    <n v="0"/>
    <n v="0"/>
    <n v="0"/>
    <n v="0"/>
    <n v="1"/>
    <m/>
    <n v="0"/>
    <n v="0"/>
    <n v="0.25"/>
    <n v="0.25"/>
    <n v="0.25"/>
    <n v="0.25"/>
    <m/>
    <m/>
    <m/>
    <m/>
    <m/>
    <n v="1"/>
    <n v="513537"/>
    <n v="170046"/>
    <x v="8"/>
    <m/>
    <m/>
    <m/>
    <m/>
    <m/>
    <m/>
    <m/>
    <m/>
    <m/>
  </r>
  <r>
    <s v="17/2957/FUL"/>
    <x v="2"/>
    <x v="0"/>
    <d v="2017-12-20T00:00:00"/>
    <d v="2020-12-20T00:00:00"/>
    <m/>
    <m/>
    <x v="2"/>
    <x v="0"/>
    <m/>
    <s v="Formation of additional floor of accommodation in the form of a mansard style roof extension to facilitate the conversion of existing first floor 3 bedroom flat into 2x1 bedroom flats and provision of 2x1 bedroom flats at second floor level through the ma"/>
    <s v="4A New Broadway_x000d_Hampton Hill_x000d_Hampton_x000d_TW12 1JG_x000d_"/>
    <s v="TW12 1JG"/>
    <m/>
    <m/>
    <n v="1"/>
    <m/>
    <m/>
    <m/>
    <m/>
    <m/>
    <n v="1"/>
    <m/>
    <n v="4"/>
    <m/>
    <m/>
    <m/>
    <m/>
    <m/>
    <m/>
    <m/>
    <n v="4"/>
    <n v="4"/>
    <n v="0"/>
    <n v="-1"/>
    <n v="0"/>
    <n v="0"/>
    <n v="0"/>
    <n v="0"/>
    <n v="0"/>
    <n v="3"/>
    <m/>
    <n v="0"/>
    <n v="0"/>
    <n v="0.75"/>
    <n v="0.75"/>
    <n v="0.75"/>
    <n v="0.75"/>
    <m/>
    <m/>
    <m/>
    <m/>
    <m/>
    <n v="3"/>
    <n v="514558"/>
    <n v="171264"/>
    <x v="11"/>
    <m/>
    <m/>
    <m/>
    <s v="Mixed Use Area"/>
    <s v="High Street"/>
    <m/>
    <m/>
    <m/>
    <m/>
  </r>
  <r>
    <s v="17/3001/GPD16"/>
    <x v="1"/>
    <x v="1"/>
    <d v="2017-09-27T00:00:00"/>
    <d v="2021-06-07T00:00:00"/>
    <m/>
    <m/>
    <x v="2"/>
    <x v="0"/>
    <m/>
    <s v="Change of use from B8 (storage) to C3 (residential use) to create a 1 bedroom unit."/>
    <s v="Unit 3 Plough Lane Teddington_x000a__x000a_"/>
    <s v="TW11 9BN"/>
    <m/>
    <m/>
    <m/>
    <m/>
    <m/>
    <m/>
    <m/>
    <m/>
    <n v="0"/>
    <m/>
    <n v="1"/>
    <m/>
    <m/>
    <m/>
    <m/>
    <m/>
    <m/>
    <n v="0"/>
    <n v="1"/>
    <n v="1"/>
    <n v="0"/>
    <n v="0"/>
    <n v="0"/>
    <n v="0"/>
    <n v="0"/>
    <n v="0"/>
    <n v="0"/>
    <n v="1"/>
    <m/>
    <n v="0"/>
    <n v="0.5"/>
    <n v="0.5"/>
    <n v="0"/>
    <n v="0"/>
    <n v="0"/>
    <m/>
    <m/>
    <m/>
    <m/>
    <m/>
    <n v="1"/>
    <n v="516215"/>
    <n v="171077"/>
    <x v="0"/>
    <m/>
    <s v="Teddington"/>
    <m/>
    <m/>
    <m/>
    <m/>
    <m/>
    <m/>
    <m/>
  </r>
  <r>
    <s v="17/3003/GPD16"/>
    <x v="1"/>
    <x v="1"/>
    <d v="2017-09-27T00:00:00"/>
    <d v="2021-06-07T00:00:00"/>
    <m/>
    <m/>
    <x v="2"/>
    <x v="0"/>
    <m/>
    <s v="Change of use from B8 (storage) to C3 (residential) to create 2 Studio units."/>
    <s v="Unit 4 To 5A_x000d_Plough Lane_x000d_Teddington_x000d__x000d_"/>
    <s v="TW11 9BN"/>
    <m/>
    <m/>
    <m/>
    <m/>
    <m/>
    <m/>
    <m/>
    <m/>
    <n v="0"/>
    <m/>
    <n v="2"/>
    <m/>
    <m/>
    <m/>
    <m/>
    <m/>
    <m/>
    <n v="0"/>
    <n v="2"/>
    <n v="2"/>
    <n v="0"/>
    <n v="0"/>
    <n v="0"/>
    <n v="0"/>
    <n v="0"/>
    <n v="0"/>
    <n v="0"/>
    <n v="2"/>
    <m/>
    <n v="0"/>
    <n v="0.5"/>
    <n v="0.5"/>
    <n v="0"/>
    <n v="0"/>
    <n v="0"/>
    <m/>
    <m/>
    <m/>
    <m/>
    <m/>
    <n v="1"/>
    <n v="516224"/>
    <n v="171078"/>
    <x v="0"/>
    <m/>
    <s v="Teddington"/>
    <m/>
    <m/>
    <m/>
    <m/>
    <m/>
    <m/>
    <m/>
  </r>
  <r>
    <s v="17/3054/FUL"/>
    <x v="0"/>
    <x v="0"/>
    <d v="2018-10-30T00:00:00"/>
    <d v="2021-10-30T00:00:00"/>
    <m/>
    <m/>
    <x v="2"/>
    <x v="0"/>
    <m/>
    <s v="Demolition of existing garages and erection of a pair of two-storey, 3-bedroom semi-detached houses (2 no.), with associated landscaping and 4 off-street parking bays."/>
    <s v="Garage Site _x000d_Marys Terrace_x000d_Twickenham_x000d_TW1 3JB"/>
    <s v="TW1 3JB"/>
    <m/>
    <m/>
    <m/>
    <m/>
    <m/>
    <m/>
    <m/>
    <m/>
    <n v="0"/>
    <m/>
    <m/>
    <m/>
    <n v="2"/>
    <m/>
    <m/>
    <m/>
    <m/>
    <m/>
    <n v="2"/>
    <n v="0"/>
    <n v="0"/>
    <n v="2"/>
    <n v="0"/>
    <n v="0"/>
    <n v="0"/>
    <n v="0"/>
    <n v="0"/>
    <n v="2"/>
    <m/>
    <n v="0"/>
    <n v="0"/>
    <n v="0.5"/>
    <n v="0.5"/>
    <n v="0.5"/>
    <n v="0.5"/>
    <m/>
    <m/>
    <m/>
    <m/>
    <m/>
    <n v="2"/>
    <n v="516182"/>
    <n v="173653"/>
    <x v="10"/>
    <m/>
    <s v="Twickenham"/>
    <m/>
    <m/>
    <m/>
    <m/>
    <m/>
    <m/>
    <m/>
  </r>
  <r>
    <s v="17/3077/FUL"/>
    <x v="0"/>
    <x v="0"/>
    <d v="2018-03-15T00:00:00"/>
    <d v="2021-03-15T00:00:00"/>
    <d v="2020-05-04T00:00:00"/>
    <m/>
    <x v="2"/>
    <x v="0"/>
    <m/>
    <s v="Erection of a 3 storey dwellinghouse with accommodation at basement level, associated landscaping works and rear outbuilding for garage."/>
    <s v="4 Church Street_x000d_Twickenham_x000d_TW1 3NJ"/>
    <s v="TW1 3NJ"/>
    <m/>
    <m/>
    <m/>
    <m/>
    <m/>
    <m/>
    <m/>
    <m/>
    <n v="0"/>
    <m/>
    <m/>
    <m/>
    <m/>
    <n v="1"/>
    <m/>
    <m/>
    <m/>
    <m/>
    <n v="1"/>
    <n v="0"/>
    <n v="0"/>
    <n v="0"/>
    <n v="1"/>
    <n v="0"/>
    <n v="0"/>
    <n v="0"/>
    <n v="0"/>
    <n v="1"/>
    <m/>
    <n v="0"/>
    <n v="1"/>
    <n v="0"/>
    <n v="0"/>
    <n v="0"/>
    <n v="0"/>
    <m/>
    <m/>
    <m/>
    <m/>
    <m/>
    <n v="1"/>
    <n v="516426"/>
    <n v="173349"/>
    <x v="10"/>
    <m/>
    <s v="Twickenham"/>
    <m/>
    <m/>
    <m/>
    <m/>
    <m/>
    <s v="Conservation Area"/>
    <s v="CA8 Twickenham Riverside"/>
  </r>
  <r>
    <s v="17/3265/FUL"/>
    <x v="0"/>
    <x v="0"/>
    <d v="2018-01-15T00:00:00"/>
    <d v="2021-01-15T00:00:00"/>
    <m/>
    <m/>
    <x v="2"/>
    <x v="0"/>
    <m/>
    <s v="Demolition of existing detached house and erection of a new detached single family dwellinghouse."/>
    <s v="Lestock House_x000d_73B Castelnau_x000d_Barnes_x000d_London_x000d_SW13 9RT_x000d_"/>
    <s v="SW13 9RT"/>
    <m/>
    <m/>
    <n v="1"/>
    <m/>
    <m/>
    <m/>
    <m/>
    <m/>
    <n v="1"/>
    <m/>
    <m/>
    <m/>
    <m/>
    <m/>
    <n v="1"/>
    <m/>
    <m/>
    <m/>
    <n v="1"/>
    <n v="0"/>
    <n v="0"/>
    <n v="-1"/>
    <n v="0"/>
    <n v="1"/>
    <n v="0"/>
    <n v="0"/>
    <n v="0"/>
    <n v="0"/>
    <m/>
    <n v="0"/>
    <n v="0"/>
    <n v="0"/>
    <n v="0"/>
    <n v="0"/>
    <n v="0"/>
    <m/>
    <m/>
    <m/>
    <m/>
    <m/>
    <n v="0"/>
    <n v="522475"/>
    <n v="177141"/>
    <x v="17"/>
    <m/>
    <m/>
    <m/>
    <m/>
    <m/>
    <m/>
    <m/>
    <s v="Conservation Area"/>
    <s v="CA25 Castelnau"/>
  </r>
  <r>
    <s v="17/3402/GPD16"/>
    <x v="1"/>
    <x v="1"/>
    <d v="2017-11-03T00:00:00"/>
    <d v="2020-11-03T00:00:00"/>
    <m/>
    <m/>
    <x v="2"/>
    <x v="0"/>
    <m/>
    <s v="Change of use from B8 (Storage) to C3 (Residential) to create 1 no. studio flat."/>
    <s v="Unit 1_x000d_Plough Lane_x000d_Teddington_x000d__x000d_"/>
    <s v="TW11"/>
    <m/>
    <m/>
    <m/>
    <m/>
    <m/>
    <m/>
    <m/>
    <m/>
    <n v="0"/>
    <m/>
    <n v="1"/>
    <m/>
    <m/>
    <m/>
    <m/>
    <m/>
    <m/>
    <m/>
    <n v="1"/>
    <n v="1"/>
    <n v="0"/>
    <n v="0"/>
    <n v="0"/>
    <n v="0"/>
    <n v="0"/>
    <n v="0"/>
    <n v="0"/>
    <n v="1"/>
    <m/>
    <n v="0"/>
    <n v="0"/>
    <n v="0.25"/>
    <n v="0.25"/>
    <n v="0.25"/>
    <n v="0.25"/>
    <m/>
    <m/>
    <m/>
    <m/>
    <m/>
    <n v="1"/>
    <n v="516208"/>
    <n v="171077"/>
    <x v="0"/>
    <m/>
    <s v="Teddington"/>
    <m/>
    <m/>
    <m/>
    <m/>
    <m/>
    <m/>
    <m/>
  </r>
  <r>
    <s v="17/3404/FUL"/>
    <x v="1"/>
    <x v="0"/>
    <d v="2018-02-01T00:00:00"/>
    <d v="2021-02-02T00:00:00"/>
    <m/>
    <m/>
    <x v="2"/>
    <x v="0"/>
    <m/>
    <s v="Erection of a two storey side and single storey rear extension and change of existing C3(residential) use at first floor to facilitate the provision of B1(a) office floorspace with associated hard and soft landscaping, bin and cycle storage and 2 car park"/>
    <s v="91 Stanley Road_x000d_Teddington_x000d_TW11 8UB"/>
    <s v="TW11 8UB"/>
    <n v="1"/>
    <m/>
    <m/>
    <m/>
    <m/>
    <m/>
    <m/>
    <m/>
    <n v="1"/>
    <m/>
    <m/>
    <m/>
    <m/>
    <m/>
    <m/>
    <m/>
    <m/>
    <m/>
    <n v="0"/>
    <n v="-1"/>
    <n v="0"/>
    <n v="0"/>
    <n v="0"/>
    <n v="0"/>
    <n v="0"/>
    <n v="0"/>
    <n v="0"/>
    <n v="-1"/>
    <m/>
    <n v="0"/>
    <n v="0"/>
    <n v="-0.25"/>
    <n v="-0.25"/>
    <n v="-0.25"/>
    <n v="-0.25"/>
    <m/>
    <m/>
    <m/>
    <m/>
    <m/>
    <n v="-1"/>
    <n v="515091"/>
    <n v="171518"/>
    <x v="11"/>
    <m/>
    <m/>
    <m/>
    <s v="Mixed Use Area"/>
    <s v="Stanley Road"/>
    <m/>
    <m/>
    <m/>
    <m/>
  </r>
  <r>
    <s v="17/3590/FUL"/>
    <x v="0"/>
    <x v="0"/>
    <d v="2018-07-26T00:00:00"/>
    <d v="2021-07-26T00:00:00"/>
    <m/>
    <m/>
    <x v="2"/>
    <x v="0"/>
    <m/>
    <s v="Demolition of the existing garages. Erection of 1 x 2 bed single storey house and 1 x 3 bed single storey house with basement with associated hard and soft landscaping, refuse and cycle stores."/>
    <s v="Garages Rear Of 48-52_x000d_Anlaby Road_x000d_Teddington_x000d__x000d_"/>
    <s v="TW11 0PP"/>
    <m/>
    <m/>
    <m/>
    <m/>
    <m/>
    <m/>
    <m/>
    <m/>
    <n v="0"/>
    <m/>
    <m/>
    <n v="1"/>
    <n v="1"/>
    <m/>
    <m/>
    <m/>
    <m/>
    <m/>
    <n v="2"/>
    <n v="0"/>
    <n v="1"/>
    <n v="1"/>
    <n v="0"/>
    <n v="0"/>
    <n v="0"/>
    <n v="0"/>
    <n v="0"/>
    <n v="2"/>
    <m/>
    <n v="0"/>
    <n v="0"/>
    <n v="0.5"/>
    <n v="0.5"/>
    <n v="0.5"/>
    <n v="0.5"/>
    <m/>
    <m/>
    <m/>
    <m/>
    <m/>
    <n v="2"/>
    <n v="514975"/>
    <n v="171285"/>
    <x v="11"/>
    <m/>
    <m/>
    <m/>
    <m/>
    <m/>
    <m/>
    <m/>
    <m/>
    <m/>
  </r>
  <r>
    <s v="17/3610/FUL"/>
    <x v="3"/>
    <x v="0"/>
    <d v="2018-03-23T00:00:00"/>
    <d v="2021-03-23T00:00:00"/>
    <m/>
    <m/>
    <x v="2"/>
    <x v="0"/>
    <m/>
    <s v="Partial demolition of existing buildings, refurbishment of  2  x commercial units (A2 use Class) on ground floor. Partial new build extensions to the roof in addition to ground, first and second floor extensions to the rear of the site to provide 2 x 2-be"/>
    <s v="67 - 69 Barnes High Street_x000d_Barnes_x000d_London_x000d__x000d_"/>
    <s v="SW13 9LD"/>
    <n v="1"/>
    <n v="2"/>
    <m/>
    <m/>
    <m/>
    <m/>
    <m/>
    <m/>
    <n v="3"/>
    <m/>
    <n v="5"/>
    <n v="2"/>
    <m/>
    <m/>
    <m/>
    <m/>
    <m/>
    <m/>
    <n v="7"/>
    <n v="4"/>
    <n v="0"/>
    <n v="0"/>
    <n v="0"/>
    <n v="0"/>
    <n v="0"/>
    <n v="0"/>
    <n v="0"/>
    <n v="4"/>
    <m/>
    <n v="0"/>
    <n v="1.3333333333333333"/>
    <n v="1.3333333333333333"/>
    <n v="1.3333333333333333"/>
    <n v="0"/>
    <n v="0"/>
    <m/>
    <m/>
    <m/>
    <m/>
    <m/>
    <n v="4"/>
    <n v="521762"/>
    <n v="176415"/>
    <x v="17"/>
    <m/>
    <m/>
    <m/>
    <s v="Mixed Use Area"/>
    <s v="High Street"/>
    <m/>
    <m/>
    <s v="Conservation Area"/>
    <s v="CA1 Barnes Green"/>
  </r>
  <r>
    <s v="17/3696/GPD16"/>
    <x v="1"/>
    <x v="1"/>
    <d v="2017-12-22T00:00:00"/>
    <d v="2020-12-22T00:00:00"/>
    <m/>
    <m/>
    <x v="2"/>
    <x v="0"/>
    <m/>
    <s v="Change of use of premises from B8 (warehouse/distrubtion) to C3 (residential - 6 x 1 bed flats)"/>
    <s v="1A St Leonards Road_x000d_East Sheen_x000d_London_x000d_SW14 7LY_x000d_"/>
    <s v="SW14 7LY"/>
    <m/>
    <m/>
    <m/>
    <m/>
    <m/>
    <m/>
    <m/>
    <m/>
    <n v="0"/>
    <m/>
    <n v="6"/>
    <m/>
    <m/>
    <m/>
    <m/>
    <m/>
    <m/>
    <m/>
    <n v="6"/>
    <n v="6"/>
    <n v="0"/>
    <n v="0"/>
    <n v="0"/>
    <n v="0"/>
    <n v="0"/>
    <n v="0"/>
    <n v="0"/>
    <n v="6"/>
    <m/>
    <n v="0"/>
    <n v="0"/>
    <n v="1.5"/>
    <n v="1.5"/>
    <n v="1.5"/>
    <n v="1.5"/>
    <m/>
    <m/>
    <m/>
    <m/>
    <m/>
    <n v="6"/>
    <n v="520442"/>
    <n v="175588"/>
    <x v="7"/>
    <m/>
    <m/>
    <m/>
    <m/>
    <m/>
    <m/>
    <m/>
    <s v="Conservation Area"/>
    <s v="CA70 Sheen Lane Mortlake"/>
  </r>
  <r>
    <s v="17/3795/GPD15"/>
    <x v="1"/>
    <x v="1"/>
    <d v="2017-12-11T00:00:00"/>
    <d v="2020-12-11T00:00:00"/>
    <m/>
    <m/>
    <x v="2"/>
    <x v="0"/>
    <m/>
    <s v="Change of use from Offices (B1) to Residential (C3)."/>
    <s v="25 Church Road_x000d_Teddington_x000d_TW11 8PF_x000d_"/>
    <s v="TW11 8PF"/>
    <m/>
    <m/>
    <m/>
    <m/>
    <m/>
    <m/>
    <m/>
    <m/>
    <n v="0"/>
    <m/>
    <m/>
    <n v="1"/>
    <n v="1"/>
    <m/>
    <m/>
    <m/>
    <m/>
    <m/>
    <n v="2"/>
    <n v="0"/>
    <n v="1"/>
    <n v="1"/>
    <n v="0"/>
    <n v="0"/>
    <n v="0"/>
    <n v="0"/>
    <n v="0"/>
    <n v="2"/>
    <m/>
    <n v="0"/>
    <n v="0"/>
    <n v="0.5"/>
    <n v="0.5"/>
    <n v="0.5"/>
    <n v="0.5"/>
    <m/>
    <m/>
    <m/>
    <m/>
    <m/>
    <n v="2"/>
    <n v="515664"/>
    <n v="171121"/>
    <x v="0"/>
    <m/>
    <m/>
    <m/>
    <m/>
    <m/>
    <m/>
    <m/>
    <m/>
    <m/>
  </r>
  <r>
    <s v="17/4005/FUL"/>
    <x v="3"/>
    <x v="0"/>
    <d v="2020-03-05T00:00:00"/>
    <d v="2023-03-05T00:00:00"/>
    <m/>
    <m/>
    <x v="2"/>
    <x v="0"/>
    <m/>
    <s v="Installation of new shopfront, new front access door, new windows to front and rear facades, alterations to and replacement of existing fenestration, removal of external staircase at rear ground and first floor level, provision of bike store and removal o"/>
    <s v="51 Kew Road_x000d_Richmond_x000d_TW9 2NQ"/>
    <s v="TW9 2NQ"/>
    <n v="1"/>
    <m/>
    <m/>
    <m/>
    <m/>
    <m/>
    <m/>
    <m/>
    <n v="1"/>
    <m/>
    <n v="2"/>
    <m/>
    <m/>
    <m/>
    <m/>
    <m/>
    <m/>
    <m/>
    <n v="2"/>
    <n v="1"/>
    <n v="0"/>
    <n v="0"/>
    <n v="0"/>
    <n v="0"/>
    <n v="0"/>
    <n v="0"/>
    <n v="0"/>
    <n v="1"/>
    <m/>
    <n v="0"/>
    <n v="0"/>
    <n v="0.25"/>
    <n v="0.25"/>
    <n v="0.25"/>
    <n v="0.25"/>
    <m/>
    <m/>
    <m/>
    <m/>
    <m/>
    <n v="1"/>
    <n v="518109"/>
    <n v="175300"/>
    <x v="4"/>
    <m/>
    <s v="Richmond"/>
    <m/>
    <m/>
    <m/>
    <m/>
    <m/>
    <s v="Conservation Area"/>
    <s v="CA17 Central Richmond"/>
  </r>
  <r>
    <s v="17/4014/FUL"/>
    <x v="1"/>
    <x v="0"/>
    <d v="2018-11-30T00:00:00"/>
    <d v="2022-03-19T00:00:00"/>
    <m/>
    <m/>
    <x v="2"/>
    <x v="0"/>
    <m/>
    <s v="Change of use of part front ground floor A5(hot food takeaways) use to C3(residential) use to facilitate the conversion of existing 3 bed maisonette above shop into 2 x 2 bed (2B3P) flats. Change of use of part rear ground floor rear from A5(retail) to C"/>
    <s v="126 Heath Road_x000d_Twickenham_x000d_TW1 4BN_x000d_"/>
    <s v="TW1 4BN"/>
    <m/>
    <m/>
    <n v="1"/>
    <m/>
    <m/>
    <m/>
    <m/>
    <m/>
    <n v="1"/>
    <m/>
    <n v="1"/>
    <n v="2"/>
    <m/>
    <m/>
    <m/>
    <m/>
    <m/>
    <m/>
    <n v="3"/>
    <n v="1"/>
    <n v="2"/>
    <n v="-1"/>
    <n v="0"/>
    <n v="0"/>
    <n v="0"/>
    <n v="0"/>
    <n v="0"/>
    <n v="2"/>
    <m/>
    <n v="0"/>
    <n v="0"/>
    <n v="0.5"/>
    <n v="0.5"/>
    <n v="0.5"/>
    <n v="0.5"/>
    <m/>
    <m/>
    <m/>
    <m/>
    <m/>
    <n v="2"/>
    <n v="515746"/>
    <n v="173156"/>
    <x v="5"/>
    <m/>
    <s v="Twickenham"/>
    <m/>
    <m/>
    <m/>
    <m/>
    <m/>
    <m/>
    <m/>
  </r>
  <r>
    <s v="17/4015/FUL"/>
    <x v="0"/>
    <x v="0"/>
    <d v="2018-10-03T00:00:00"/>
    <d v="2021-10-03T00:00:00"/>
    <m/>
    <m/>
    <x v="2"/>
    <x v="0"/>
    <m/>
    <s v="Erection of 2no. dwellings with associated cycle parking and refuse storage."/>
    <s v="Land To Rear Of 34 - 40 The Quadrant Richmond_x000a__x000a_"/>
    <s v="TW9 1DN"/>
    <m/>
    <m/>
    <m/>
    <m/>
    <m/>
    <m/>
    <m/>
    <m/>
    <n v="0"/>
    <m/>
    <m/>
    <n v="2"/>
    <m/>
    <m/>
    <m/>
    <m/>
    <m/>
    <m/>
    <n v="2"/>
    <n v="0"/>
    <n v="2"/>
    <n v="0"/>
    <n v="0"/>
    <n v="0"/>
    <n v="0"/>
    <n v="0"/>
    <n v="0"/>
    <n v="2"/>
    <m/>
    <n v="0"/>
    <n v="0"/>
    <n v="0.5"/>
    <n v="0.5"/>
    <n v="0.5"/>
    <n v="0.5"/>
    <m/>
    <m/>
    <m/>
    <m/>
    <m/>
    <n v="2"/>
    <n v="518028"/>
    <n v="175050"/>
    <x v="4"/>
    <m/>
    <s v="Richmond"/>
    <m/>
    <m/>
    <m/>
    <m/>
    <m/>
    <s v="Conservation Area"/>
    <s v="CA17 Central Richmond"/>
  </r>
  <r>
    <s v="17/4114/PS192"/>
    <x v="1"/>
    <x v="1"/>
    <d v="2017-12-28T00:00:00"/>
    <d v="2020-12-28T00:00:00"/>
    <m/>
    <m/>
    <x v="2"/>
    <x v="0"/>
    <m/>
    <s v="Change of use from Class C4 (House in Multiple Occupation) to C3 (residential) to provide 1 x 3 bed flat"/>
    <s v="35A Broad Street_x000d_Teddington_x000d_TW11 8QZ_x000d_"/>
    <s v="TW11 8QZ"/>
    <m/>
    <m/>
    <n v="1"/>
    <m/>
    <m/>
    <m/>
    <m/>
    <m/>
    <n v="1"/>
    <m/>
    <m/>
    <m/>
    <n v="1"/>
    <m/>
    <m/>
    <m/>
    <m/>
    <m/>
    <n v="1"/>
    <n v="0"/>
    <n v="0"/>
    <n v="0"/>
    <n v="0"/>
    <n v="0"/>
    <n v="0"/>
    <n v="0"/>
    <n v="0"/>
    <n v="0"/>
    <m/>
    <n v="0"/>
    <n v="0"/>
    <n v="0"/>
    <n v="0"/>
    <n v="0"/>
    <n v="0"/>
    <m/>
    <m/>
    <m/>
    <m/>
    <m/>
    <n v="0"/>
    <n v="515625"/>
    <n v="170998"/>
    <x v="0"/>
    <m/>
    <s v="Teddington"/>
    <m/>
    <m/>
    <m/>
    <m/>
    <m/>
    <m/>
    <m/>
  </r>
  <r>
    <s v="17/4122/FUL"/>
    <x v="0"/>
    <x v="0"/>
    <d v="2018-12-21T00:00:00"/>
    <d v="2021-12-21T00:00:00"/>
    <m/>
    <m/>
    <x v="2"/>
    <x v="0"/>
    <m/>
    <s v="Demolition of garage and the erection of a three-storey two-bedroom detached dwelling with associated landscaping. (Re-consultation required for the following reason: Building line adjusted following a further site survey to accurately record the location"/>
    <s v="Land Adjacent To 93 Elm Bank Gardens Barnes"/>
    <s v="SW13 0NX"/>
    <m/>
    <m/>
    <m/>
    <m/>
    <m/>
    <m/>
    <m/>
    <m/>
    <n v="0"/>
    <m/>
    <m/>
    <n v="1"/>
    <m/>
    <m/>
    <m/>
    <m/>
    <m/>
    <m/>
    <n v="1"/>
    <n v="0"/>
    <n v="1"/>
    <n v="0"/>
    <n v="0"/>
    <n v="0"/>
    <n v="0"/>
    <n v="0"/>
    <n v="0"/>
    <n v="1"/>
    <m/>
    <n v="0"/>
    <n v="0"/>
    <n v="0.25"/>
    <n v="0.25"/>
    <n v="0.25"/>
    <n v="0.25"/>
    <m/>
    <m/>
    <m/>
    <m/>
    <m/>
    <n v="1"/>
    <n v="521350"/>
    <n v="176123"/>
    <x v="6"/>
    <m/>
    <m/>
    <s v="Thames Policy Area"/>
    <m/>
    <m/>
    <m/>
    <m/>
    <s v="Conservation Area"/>
    <s v="CA1 Barnes Green"/>
  </r>
  <r>
    <s v="17/4292/FUL"/>
    <x v="4"/>
    <x v="0"/>
    <d v="2018-01-25T00:00:00"/>
    <d v="2021-01-25T00:00:00"/>
    <m/>
    <m/>
    <x v="2"/>
    <x v="0"/>
    <m/>
    <s v="Proposed roof and side extension to the existing two storey residential building to provide three new apartment units and to increase the size of four of the existing units. Alterations to elevations including balconies at first and second floor."/>
    <s v="Cliveden House_x000d_Victoria Villas_x000d_Richmond_x000d_TW9 2JX_x000d_"/>
    <s v="TW9 2JX"/>
    <m/>
    <m/>
    <m/>
    <m/>
    <m/>
    <m/>
    <m/>
    <m/>
    <n v="0"/>
    <m/>
    <n v="1"/>
    <n v="2"/>
    <m/>
    <m/>
    <m/>
    <m/>
    <m/>
    <m/>
    <n v="3"/>
    <n v="1"/>
    <n v="2"/>
    <n v="0"/>
    <n v="0"/>
    <n v="0"/>
    <n v="0"/>
    <n v="0"/>
    <n v="0"/>
    <n v="3"/>
    <m/>
    <n v="0"/>
    <n v="0"/>
    <n v="0.75"/>
    <n v="0.75"/>
    <n v="0.75"/>
    <n v="0.75"/>
    <m/>
    <m/>
    <m/>
    <m/>
    <m/>
    <n v="3"/>
    <n v="518831"/>
    <n v="175436"/>
    <x v="12"/>
    <m/>
    <m/>
    <m/>
    <m/>
    <m/>
    <m/>
    <m/>
    <m/>
    <m/>
  </r>
  <r>
    <s v="17/4344/FUL"/>
    <x v="1"/>
    <x v="0"/>
    <d v="2018-03-09T00:00:00"/>
    <d v="2021-03-09T00:00:00"/>
    <m/>
    <m/>
    <x v="2"/>
    <x v="0"/>
    <m/>
    <s v="Change of use of first, second and third floors from Class A2 (offices) and Class A1 (ancillary office space) to 1 two-bedroom residential dwelling with roof terrace at fourth floor level with associated safety balustrade."/>
    <s v="First To Third Floors_x000d_2 The Square_x000d_Richmond_x000d__x000d_"/>
    <s v="TW9 1DY"/>
    <m/>
    <m/>
    <m/>
    <m/>
    <m/>
    <m/>
    <m/>
    <m/>
    <n v="0"/>
    <m/>
    <m/>
    <n v="1"/>
    <m/>
    <m/>
    <m/>
    <m/>
    <m/>
    <m/>
    <n v="1"/>
    <n v="0"/>
    <n v="1"/>
    <n v="0"/>
    <n v="0"/>
    <n v="0"/>
    <n v="0"/>
    <n v="0"/>
    <n v="0"/>
    <n v="1"/>
    <m/>
    <n v="0"/>
    <n v="0"/>
    <n v="0.25"/>
    <n v="0.25"/>
    <n v="0.25"/>
    <n v="0.25"/>
    <m/>
    <m/>
    <m/>
    <m/>
    <m/>
    <n v="1"/>
    <n v="517967"/>
    <n v="174947"/>
    <x v="4"/>
    <m/>
    <s v="Richmond"/>
    <m/>
    <m/>
    <m/>
    <m/>
    <m/>
    <s v="Conservation Area"/>
    <s v="CA17 Central Richmond"/>
  </r>
  <r>
    <s v="17/4422/GPD15"/>
    <x v="1"/>
    <x v="1"/>
    <d v="2018-02-05T00:00:00"/>
    <d v="2021-02-05T00:00:00"/>
    <m/>
    <m/>
    <x v="2"/>
    <x v="0"/>
    <m/>
    <s v="Change of use of the ground floor and accommodation above the rear workshop from Class B1(C) Light Industrial to Dwelling (Class C3)."/>
    <s v="25 Church Road_x000d_Teddington_x000d_TW11 8PF_x000d_"/>
    <s v="TW11 8PF"/>
    <m/>
    <m/>
    <m/>
    <m/>
    <m/>
    <m/>
    <m/>
    <m/>
    <n v="0"/>
    <m/>
    <m/>
    <n v="1"/>
    <m/>
    <m/>
    <m/>
    <m/>
    <m/>
    <m/>
    <n v="1"/>
    <n v="0"/>
    <n v="1"/>
    <n v="0"/>
    <n v="0"/>
    <n v="0"/>
    <n v="0"/>
    <n v="0"/>
    <n v="0"/>
    <n v="1"/>
    <m/>
    <n v="0"/>
    <n v="0"/>
    <n v="0.25"/>
    <n v="0.25"/>
    <n v="0.25"/>
    <n v="0.25"/>
    <m/>
    <m/>
    <m/>
    <m/>
    <m/>
    <n v="1"/>
    <n v="515664"/>
    <n v="171121"/>
    <x v="0"/>
    <m/>
    <m/>
    <m/>
    <m/>
    <m/>
    <m/>
    <m/>
    <m/>
    <m/>
  </r>
  <r>
    <s v="17/4453/FUL"/>
    <x v="3"/>
    <x v="0"/>
    <d v="2018-05-10T00:00:00"/>
    <d v="2021-05-10T00:00:00"/>
    <m/>
    <m/>
    <x v="2"/>
    <x v="0"/>
    <m/>
    <s v="Single storey rear extension and basement extension, including lightwells to the front and rear, to create 1 no. additional new dwelling."/>
    <s v="286 Kew Road_x000d_Kew_x000d_Richmond_x000d_TW9 3DU_x000d_"/>
    <s v="TW9 3DU"/>
    <m/>
    <m/>
    <m/>
    <m/>
    <m/>
    <m/>
    <m/>
    <m/>
    <n v="0"/>
    <m/>
    <n v="1"/>
    <m/>
    <m/>
    <m/>
    <m/>
    <m/>
    <m/>
    <m/>
    <n v="1"/>
    <n v="1"/>
    <n v="0"/>
    <n v="0"/>
    <n v="0"/>
    <n v="0"/>
    <n v="0"/>
    <n v="0"/>
    <n v="0"/>
    <n v="1"/>
    <m/>
    <n v="0"/>
    <n v="0"/>
    <n v="0.25"/>
    <n v="0.25"/>
    <n v="0.25"/>
    <n v="0.25"/>
    <m/>
    <m/>
    <m/>
    <m/>
    <m/>
    <n v="1"/>
    <n v="518955"/>
    <n v="177124"/>
    <x v="9"/>
    <m/>
    <m/>
    <m/>
    <m/>
    <m/>
    <m/>
    <m/>
    <s v="Conservation Area"/>
    <s v="CA2 Kew Green"/>
  </r>
  <r>
    <s v="17/4477/FUL"/>
    <x v="2"/>
    <x v="0"/>
    <d v="2019-05-23T00:00:00"/>
    <d v="2022-05-23T00:00:00"/>
    <m/>
    <m/>
    <x v="2"/>
    <x v="0"/>
    <m/>
    <s v="Conversion of 2 flats into a single dwelling. Erection of a rear extension on the lower ground floor. Vertical enlargement of a rear window on the raised ground floor."/>
    <s v="15 Friars Stile Road_x000d_Richmond_x000d__x000d_"/>
    <s v="TW10 6NH"/>
    <m/>
    <m/>
    <n v="2"/>
    <m/>
    <m/>
    <m/>
    <m/>
    <m/>
    <n v="2"/>
    <m/>
    <m/>
    <m/>
    <m/>
    <m/>
    <n v="1"/>
    <m/>
    <m/>
    <m/>
    <n v="1"/>
    <n v="0"/>
    <n v="0"/>
    <n v="-2"/>
    <n v="0"/>
    <n v="1"/>
    <n v="0"/>
    <n v="0"/>
    <n v="0"/>
    <n v="-1"/>
    <m/>
    <n v="0"/>
    <n v="0"/>
    <n v="-0.25"/>
    <n v="-0.25"/>
    <n v="-0.25"/>
    <n v="-0.25"/>
    <m/>
    <m/>
    <m/>
    <m/>
    <m/>
    <n v="-1"/>
    <n v="518418"/>
    <n v="174325"/>
    <x v="4"/>
    <m/>
    <m/>
    <m/>
    <m/>
    <m/>
    <m/>
    <m/>
    <s v="Conservation Area"/>
    <s v="CA30 St Matthias Richmond"/>
  </r>
  <r>
    <s v="18/0268/FUL"/>
    <x v="0"/>
    <x v="0"/>
    <d v="2018-05-31T00:00:00"/>
    <d v="2021-05-31T00:00:00"/>
    <m/>
    <m/>
    <x v="2"/>
    <x v="0"/>
    <m/>
    <s v="Demolition of the existing four bedroom house and garage and replace with a new build four bedroom house, together with associated hard and soft landscaping, cycle and refuse stores and parking."/>
    <s v="36 Sunnyside Road_x000d_Teddington_x000d_TW11 0RT"/>
    <s v="TW11 0RT"/>
    <m/>
    <m/>
    <m/>
    <n v="1"/>
    <m/>
    <m/>
    <m/>
    <m/>
    <n v="1"/>
    <m/>
    <m/>
    <m/>
    <m/>
    <n v="1"/>
    <m/>
    <m/>
    <m/>
    <m/>
    <n v="1"/>
    <n v="0"/>
    <n v="0"/>
    <n v="0"/>
    <n v="0"/>
    <n v="0"/>
    <n v="0"/>
    <n v="0"/>
    <n v="0"/>
    <n v="0"/>
    <m/>
    <n v="0"/>
    <n v="0"/>
    <n v="0"/>
    <n v="0"/>
    <n v="0"/>
    <n v="0"/>
    <m/>
    <m/>
    <m/>
    <m/>
    <m/>
    <n v="0"/>
    <n v="514952"/>
    <n v="171606"/>
    <x v="11"/>
    <m/>
    <m/>
    <m/>
    <m/>
    <m/>
    <m/>
    <m/>
    <m/>
    <m/>
  </r>
  <r>
    <s v="18/0301/FUL"/>
    <x v="0"/>
    <x v="0"/>
    <d v="2018-12-18T00:00:00"/>
    <d v="2021-12-18T00:00:00"/>
    <m/>
    <m/>
    <x v="2"/>
    <x v="0"/>
    <m/>
    <s v="Demolition of the existing detached dwelling house and replacement with a new detached family home with associated off street parking."/>
    <s v="18 Cedar Heights_x000d_Petersham_x000d_Richmond_x000d_TW10 7AE_x000d_"/>
    <s v="TW10 7AE"/>
    <m/>
    <m/>
    <m/>
    <n v="1"/>
    <m/>
    <m/>
    <m/>
    <m/>
    <n v="1"/>
    <m/>
    <m/>
    <m/>
    <m/>
    <m/>
    <m/>
    <n v="1"/>
    <m/>
    <m/>
    <n v="1"/>
    <n v="0"/>
    <n v="0"/>
    <n v="0"/>
    <n v="-1"/>
    <n v="0"/>
    <n v="1"/>
    <n v="0"/>
    <n v="0"/>
    <n v="0"/>
    <m/>
    <n v="0"/>
    <n v="0"/>
    <n v="0"/>
    <n v="0"/>
    <n v="0"/>
    <n v="0"/>
    <m/>
    <m/>
    <m/>
    <m/>
    <m/>
    <n v="0"/>
    <n v="518177"/>
    <n v="173103"/>
    <x v="15"/>
    <m/>
    <m/>
    <m/>
    <m/>
    <m/>
    <m/>
    <m/>
    <m/>
    <m/>
  </r>
  <r>
    <s v="18/0315/FUL"/>
    <x v="0"/>
    <x v="0"/>
    <d v="2019-06-20T00:00:00"/>
    <d v="2022-06-20T00:00:00"/>
    <m/>
    <m/>
    <x v="2"/>
    <x v="0"/>
    <m/>
    <s v="Demolition of the existing Church Hall and the bungalow at No 44 The Avenue and erection of four dwellings (3 x 4B7P, 1 x 3B5P) (Use Class C3 Dwelling Houses); a new entrance lobby (Narthex) to All Saints' Church and a new Church Hall (Use Class D1: Non-R"/>
    <s v="All Saints Parish Church_x000d_The Avenue_x000d_Hampton_x000d_TW12 3RG_x000d_"/>
    <s v="TW12 3RG"/>
    <m/>
    <m/>
    <n v="1"/>
    <m/>
    <m/>
    <m/>
    <m/>
    <m/>
    <n v="1"/>
    <m/>
    <m/>
    <n v="1"/>
    <n v="1"/>
    <n v="3"/>
    <m/>
    <m/>
    <m/>
    <m/>
    <n v="5"/>
    <n v="0"/>
    <n v="1"/>
    <n v="0"/>
    <n v="3"/>
    <n v="0"/>
    <n v="0"/>
    <n v="0"/>
    <n v="0"/>
    <n v="4"/>
    <m/>
    <n v="0"/>
    <n v="0"/>
    <n v="1"/>
    <n v="1"/>
    <n v="1"/>
    <n v="1"/>
    <m/>
    <m/>
    <m/>
    <m/>
    <m/>
    <n v="4"/>
    <n v="512966"/>
    <n v="170724"/>
    <x v="16"/>
    <m/>
    <m/>
    <m/>
    <m/>
    <m/>
    <m/>
    <m/>
    <m/>
    <m/>
  </r>
  <r>
    <s v="18/0584/GPD15"/>
    <x v="1"/>
    <x v="1"/>
    <d v="2018-04-17T00:00:00"/>
    <d v="2021-05-17T00:00:00"/>
    <m/>
    <m/>
    <x v="2"/>
    <x v="0"/>
    <m/>
    <s v="Change of use from B1c to C3 (Residential) to provide 2 x 2B4P flats."/>
    <s v="1 High Street_x000d_Hampton Hill_x000d__x000d_"/>
    <s v="TW12 1NA"/>
    <m/>
    <m/>
    <m/>
    <m/>
    <m/>
    <m/>
    <m/>
    <m/>
    <n v="0"/>
    <m/>
    <m/>
    <n v="2"/>
    <m/>
    <m/>
    <m/>
    <m/>
    <m/>
    <m/>
    <n v="2"/>
    <n v="0"/>
    <n v="2"/>
    <n v="0"/>
    <n v="0"/>
    <n v="0"/>
    <n v="0"/>
    <n v="0"/>
    <n v="0"/>
    <n v="2"/>
    <m/>
    <n v="0"/>
    <n v="0"/>
    <n v="0.5"/>
    <n v="0.5"/>
    <n v="0.5"/>
    <n v="0.5"/>
    <m/>
    <m/>
    <m/>
    <m/>
    <m/>
    <n v="2"/>
    <n v="514188"/>
    <n v="170550"/>
    <x v="11"/>
    <m/>
    <m/>
    <m/>
    <m/>
    <m/>
    <m/>
    <m/>
    <s v="Conservation Area"/>
    <s v="CA38 High Street Hampton Hill"/>
  </r>
  <r>
    <s v="18/0723/FUL"/>
    <x v="0"/>
    <x v="0"/>
    <d v="2018-10-04T00:00:00"/>
    <d v="2021-10-04T00:00:00"/>
    <d v="2020-06-23T00:00:00"/>
    <m/>
    <x v="2"/>
    <x v="0"/>
    <m/>
    <s v="Demolition of existing dwelling and the erection of a replacement two storey, 4 bedroom dwelling"/>
    <s v="3 Queens Rise_x000d_Richmond_x000d_TW10 6HL"/>
    <s v="TW10 6HL"/>
    <m/>
    <m/>
    <m/>
    <n v="1"/>
    <m/>
    <m/>
    <m/>
    <m/>
    <n v="1"/>
    <m/>
    <m/>
    <m/>
    <m/>
    <n v="1"/>
    <m/>
    <m/>
    <m/>
    <m/>
    <n v="1"/>
    <n v="0"/>
    <n v="0"/>
    <n v="0"/>
    <n v="0"/>
    <n v="0"/>
    <n v="0"/>
    <n v="0"/>
    <n v="0"/>
    <n v="0"/>
    <m/>
    <n v="0"/>
    <n v="0"/>
    <n v="0"/>
    <n v="0"/>
    <n v="0"/>
    <n v="0"/>
    <m/>
    <m/>
    <m/>
    <m/>
    <m/>
    <n v="0"/>
    <n v="518695"/>
    <n v="174476"/>
    <x v="4"/>
    <m/>
    <m/>
    <m/>
    <m/>
    <m/>
    <m/>
    <m/>
    <m/>
    <m/>
  </r>
  <r>
    <s v="18/0866/FUL"/>
    <x v="4"/>
    <x v="0"/>
    <d v="2018-11-05T00:00:00"/>
    <d v="2021-11-06T00:00:00"/>
    <m/>
    <m/>
    <x v="2"/>
    <x v="0"/>
    <m/>
    <s v="Extension and alterations to existing 2 no. retail units and 1 no. 3-bedroom residential unit to provide 1 no. A1/A2/B1 unit and 5 no. residential units, including provision of lower ground floor level and rear dormers."/>
    <s v="422 Upper Richmond Road West_x000d_East Sheen_x000d_London_x000d__x000d_"/>
    <s v="TW10 5DY"/>
    <m/>
    <m/>
    <n v="1"/>
    <m/>
    <m/>
    <m/>
    <m/>
    <m/>
    <n v="1"/>
    <m/>
    <n v="5"/>
    <m/>
    <m/>
    <m/>
    <m/>
    <m/>
    <m/>
    <m/>
    <n v="5"/>
    <n v="5"/>
    <n v="0"/>
    <n v="-1"/>
    <n v="0"/>
    <n v="0"/>
    <n v="0"/>
    <n v="0"/>
    <n v="0"/>
    <n v="4"/>
    <m/>
    <n v="0"/>
    <n v="0"/>
    <n v="1"/>
    <n v="1"/>
    <n v="1"/>
    <n v="1"/>
    <m/>
    <m/>
    <m/>
    <m/>
    <m/>
    <n v="4"/>
    <n v="519849"/>
    <n v="175357"/>
    <x v="12"/>
    <m/>
    <m/>
    <m/>
    <m/>
    <m/>
    <m/>
    <m/>
    <m/>
    <m/>
  </r>
  <r>
    <s v="18/1022/FUL"/>
    <x v="2"/>
    <x v="0"/>
    <d v="2018-11-27T00:00:00"/>
    <d v="2021-11-27T00:00:00"/>
    <m/>
    <m/>
    <x v="2"/>
    <x v="0"/>
    <m/>
    <s v="Change of use of 1st floor from C3 (Residential) use to D1 use (Dental Surgery). Replacement 5 no. windows on second floor front elevation."/>
    <s v="Elmfield House_x000d_High Street_x000d_Teddington_x000d_TW11 8EW_x000d_"/>
    <s v="TW11 8EW"/>
    <n v="1"/>
    <m/>
    <m/>
    <m/>
    <m/>
    <m/>
    <m/>
    <m/>
    <n v="1"/>
    <m/>
    <m/>
    <m/>
    <m/>
    <m/>
    <m/>
    <m/>
    <m/>
    <m/>
    <n v="0"/>
    <n v="-1"/>
    <n v="0"/>
    <n v="0"/>
    <n v="0"/>
    <n v="0"/>
    <n v="0"/>
    <n v="0"/>
    <n v="0"/>
    <n v="-1"/>
    <m/>
    <n v="0"/>
    <n v="0"/>
    <n v="-0.25"/>
    <n v="-0.25"/>
    <n v="-0.25"/>
    <n v="-0.25"/>
    <m/>
    <m/>
    <m/>
    <m/>
    <m/>
    <n v="-1"/>
    <n v="515922"/>
    <n v="171125"/>
    <x v="0"/>
    <m/>
    <s v="Teddington"/>
    <m/>
    <m/>
    <m/>
    <m/>
    <m/>
    <s v="Conservation Area"/>
    <s v="CA37 High Street Teddington"/>
  </r>
  <r>
    <s v="18/1038/FUL"/>
    <x v="0"/>
    <x v="0"/>
    <d v="2019-02-04T00:00:00"/>
    <d v="2022-02-04T00:00:00"/>
    <m/>
    <m/>
    <x v="2"/>
    <x v="0"/>
    <m/>
    <s v="Partial demolition and alterations to the existing building and the erection of 3 x 3-bedroom new build houses on the eastern part of the site, with associated parking and landscaping."/>
    <s v="21A St Leonards Road_x000d_East Sheen_x000d_London_x000d_SW14 7LY_x000d_"/>
    <m/>
    <m/>
    <m/>
    <m/>
    <m/>
    <m/>
    <m/>
    <m/>
    <m/>
    <n v="0"/>
    <m/>
    <m/>
    <m/>
    <n v="3"/>
    <m/>
    <m/>
    <m/>
    <m/>
    <n v="0"/>
    <n v="3"/>
    <n v="0"/>
    <n v="0"/>
    <n v="3"/>
    <n v="0"/>
    <n v="0"/>
    <n v="0"/>
    <n v="0"/>
    <n v="0"/>
    <n v="3"/>
    <m/>
    <n v="0"/>
    <n v="0"/>
    <n v="0.75"/>
    <n v="0.75"/>
    <n v="0.75"/>
    <n v="0.75"/>
    <m/>
    <m/>
    <m/>
    <m/>
    <m/>
    <n v="3"/>
    <n v="520397"/>
    <n v="175552"/>
    <x v="7"/>
    <m/>
    <s v="East Sheen"/>
    <m/>
    <m/>
    <m/>
    <m/>
    <m/>
    <m/>
    <m/>
  </r>
  <r>
    <s v="18/1064/GPD15"/>
    <x v="1"/>
    <x v="1"/>
    <d v="2018-05-22T00:00:00"/>
    <d v="2021-05-22T00:00:00"/>
    <m/>
    <m/>
    <x v="2"/>
    <x v="0"/>
    <m/>
    <s v="Change of use from offices (B1) to residential (C3)"/>
    <s v="21A St Leonards Road_x000d_East Sheen_x000d_London_x000d_SW14 7LY_x000d_"/>
    <s v="SW14 7LY"/>
    <m/>
    <m/>
    <m/>
    <m/>
    <m/>
    <m/>
    <m/>
    <m/>
    <n v="0"/>
    <m/>
    <m/>
    <m/>
    <n v="5"/>
    <m/>
    <m/>
    <m/>
    <m/>
    <m/>
    <n v="5"/>
    <n v="0"/>
    <n v="0"/>
    <n v="5"/>
    <n v="0"/>
    <n v="0"/>
    <n v="0"/>
    <n v="0"/>
    <n v="0"/>
    <n v="5"/>
    <m/>
    <n v="0"/>
    <n v="0"/>
    <n v="1.25"/>
    <n v="1.25"/>
    <n v="1.25"/>
    <n v="1.25"/>
    <m/>
    <m/>
    <m/>
    <m/>
    <m/>
    <n v="5"/>
    <n v="520397"/>
    <n v="175552"/>
    <x v="7"/>
    <m/>
    <s v="East Sheen"/>
    <m/>
    <m/>
    <m/>
    <m/>
    <m/>
    <m/>
    <m/>
  </r>
  <r>
    <s v="18/1114/FUL"/>
    <x v="3"/>
    <x v="0"/>
    <d v="2019-07-25T00:00:00"/>
    <d v="2022-07-25T00:00:00"/>
    <m/>
    <m/>
    <x v="2"/>
    <x v="0"/>
    <m/>
    <s v="Proposed extension at roof level and 3 storey rear staircase extension to facilitate the creation of 1 no. 1B2P flat.  Reconfiguration of existing 2 x 2 bed maisonettes into 2 x 2 bed flats.  Alterations to external elevations of the property.  Provsion o"/>
    <s v="34 And 36 Taylor Close And 177 High Street Hampton Hill_x000a__x000a_"/>
    <s v="TW12 1LF"/>
    <m/>
    <m/>
    <n v="2"/>
    <m/>
    <m/>
    <m/>
    <m/>
    <m/>
    <n v="2"/>
    <m/>
    <n v="1"/>
    <n v="2"/>
    <m/>
    <m/>
    <m/>
    <m/>
    <m/>
    <m/>
    <n v="3"/>
    <n v="1"/>
    <n v="2"/>
    <n v="-2"/>
    <n v="0"/>
    <n v="0"/>
    <n v="0"/>
    <n v="0"/>
    <n v="0"/>
    <n v="1"/>
    <m/>
    <n v="0"/>
    <n v="0"/>
    <n v="0.25"/>
    <n v="0.25"/>
    <n v="0.25"/>
    <n v="0.25"/>
    <m/>
    <m/>
    <m/>
    <m/>
    <m/>
    <n v="1"/>
    <n v="514448"/>
    <n v="171212"/>
    <x v="11"/>
    <m/>
    <m/>
    <m/>
    <s v="Mixed Use Area"/>
    <s v="High Street"/>
    <m/>
    <m/>
    <m/>
    <m/>
  </r>
  <r>
    <s v="18/1248/FUL"/>
    <x v="1"/>
    <x v="0"/>
    <d v="2018-12-21T00:00:00"/>
    <d v="2021-12-21T00:00:00"/>
    <m/>
    <m/>
    <x v="2"/>
    <x v="0"/>
    <m/>
    <s v="Conversion, refurbishment and extension of existing tyre shop with maisonette above (C3) into two self-contained one bedroom flats (C3)."/>
    <s v="1 Trinity Road_x000d_Richmond_x000d_TW9 2LD"/>
    <s v="TW9 2LD"/>
    <n v="1"/>
    <m/>
    <m/>
    <m/>
    <m/>
    <m/>
    <m/>
    <m/>
    <n v="1"/>
    <m/>
    <n v="2"/>
    <m/>
    <m/>
    <m/>
    <m/>
    <m/>
    <m/>
    <m/>
    <n v="2"/>
    <n v="1"/>
    <n v="0"/>
    <n v="0"/>
    <n v="0"/>
    <n v="0"/>
    <n v="0"/>
    <n v="0"/>
    <n v="0"/>
    <n v="1"/>
    <m/>
    <n v="0"/>
    <n v="0"/>
    <n v="0.25"/>
    <n v="0.25"/>
    <n v="0.25"/>
    <n v="0.25"/>
    <m/>
    <m/>
    <m/>
    <m/>
    <m/>
    <n v="1"/>
    <n v="518862"/>
    <n v="175562"/>
    <x v="12"/>
    <m/>
    <m/>
    <m/>
    <m/>
    <m/>
    <m/>
    <m/>
    <m/>
    <m/>
  </r>
  <r>
    <s v="18/1442/FUL"/>
    <x v="0"/>
    <x v="0"/>
    <d v="2019-01-07T00:00:00"/>
    <d v="2022-01-07T00:00:00"/>
    <m/>
    <m/>
    <x v="2"/>
    <x v="0"/>
    <m/>
    <s v="Demolition of the existing outbuilding to the rear of no.48 Fourth Cross Road accessed via Rutland Road and construction of 1x2 bedroom dwelling including basement, with associated car parking, cycle parking and recycle/refuse storage."/>
    <s v="Land Rear Of_x000d_48 Fourth Cross Road_x000d_Twickenham_x000d__x000d_"/>
    <s v="TW2 5ER"/>
    <m/>
    <m/>
    <m/>
    <m/>
    <m/>
    <m/>
    <m/>
    <m/>
    <n v="0"/>
    <m/>
    <m/>
    <n v="1"/>
    <m/>
    <m/>
    <m/>
    <m/>
    <m/>
    <m/>
    <n v="1"/>
    <n v="0"/>
    <n v="1"/>
    <n v="0"/>
    <n v="0"/>
    <n v="0"/>
    <n v="0"/>
    <n v="0"/>
    <n v="0"/>
    <n v="1"/>
    <m/>
    <n v="0"/>
    <n v="0"/>
    <n v="0.25"/>
    <n v="0.25"/>
    <n v="0.25"/>
    <n v="0.25"/>
    <m/>
    <m/>
    <m/>
    <m/>
    <m/>
    <n v="1"/>
    <n v="514703"/>
    <n v="172701"/>
    <x v="2"/>
    <m/>
    <m/>
    <m/>
    <m/>
    <m/>
    <m/>
    <m/>
    <m/>
    <m/>
  </r>
  <r>
    <s v="18/1446/FUL"/>
    <x v="0"/>
    <x v="0"/>
    <d v="2018-08-10T00:00:00"/>
    <d v="2021-08-10T00:00:00"/>
    <m/>
    <m/>
    <x v="2"/>
    <x v="0"/>
    <m/>
    <s v="Demolition of existing single family dwelling and erection of a replacement two-storey dwelling house, with accommodation in the mansard roof."/>
    <s v="32 Albion Road_x000d_Twickenham_x000d_TW2 6QJ"/>
    <s v="TW2 6QJ"/>
    <m/>
    <m/>
    <m/>
    <n v="1"/>
    <m/>
    <m/>
    <m/>
    <m/>
    <n v="1"/>
    <m/>
    <m/>
    <m/>
    <m/>
    <n v="1"/>
    <m/>
    <m/>
    <m/>
    <m/>
    <n v="1"/>
    <n v="0"/>
    <n v="0"/>
    <n v="0"/>
    <n v="0"/>
    <n v="0"/>
    <n v="0"/>
    <n v="0"/>
    <n v="0"/>
    <n v="0"/>
    <m/>
    <n v="0"/>
    <n v="0"/>
    <n v="0"/>
    <n v="0"/>
    <n v="0"/>
    <n v="0"/>
    <m/>
    <m/>
    <m/>
    <m/>
    <m/>
    <n v="0"/>
    <n v="515299"/>
    <n v="173105"/>
    <x v="5"/>
    <m/>
    <m/>
    <m/>
    <m/>
    <m/>
    <m/>
    <m/>
    <m/>
    <m/>
  </r>
  <r>
    <s v="18/1743/FUL"/>
    <x v="0"/>
    <x v="0"/>
    <d v="2018-10-12T00:00:00"/>
    <d v="2021-12-20T00:00:00"/>
    <m/>
    <m/>
    <x v="2"/>
    <x v="0"/>
    <m/>
    <s v="Subdivision of existing curtilage at 168 Broom Road; alterations to existing garage to the rear of the site comprising single storey side extension; two rear dormer roof extensions; two rooflights to the front roofslope and fenestration alterations to fac"/>
    <s v="168 Broom Road_x000d_Teddington_x000d_TW11 9PQ_x000d_"/>
    <s v="TW11 9PQ"/>
    <m/>
    <m/>
    <m/>
    <m/>
    <m/>
    <m/>
    <m/>
    <m/>
    <n v="0"/>
    <m/>
    <n v="1"/>
    <m/>
    <m/>
    <m/>
    <m/>
    <m/>
    <m/>
    <m/>
    <n v="1"/>
    <n v="1"/>
    <n v="0"/>
    <n v="0"/>
    <n v="0"/>
    <n v="0"/>
    <n v="0"/>
    <n v="0"/>
    <n v="0"/>
    <n v="1"/>
    <m/>
    <n v="0"/>
    <n v="0"/>
    <n v="1"/>
    <n v="0"/>
    <n v="0"/>
    <n v="0"/>
    <m/>
    <m/>
    <m/>
    <m/>
    <m/>
    <n v="1"/>
    <n v="517388"/>
    <n v="170706"/>
    <x v="3"/>
    <s v="Garden Land"/>
    <m/>
    <m/>
    <m/>
    <m/>
    <m/>
    <m/>
    <m/>
    <m/>
  </r>
  <r>
    <s v="18/1911/FUL"/>
    <x v="4"/>
    <x v="0"/>
    <d v="2018-12-11T00:00:00"/>
    <d v="2021-12-11T00:00:00"/>
    <m/>
    <m/>
    <x v="2"/>
    <x v="0"/>
    <m/>
    <s v="First floor side extension and internal alterations (loss of floor space to existing first floor flat) in connection with the formation of an additional studio flat."/>
    <s v="74 Copthall Gardens_x000d_Twickenham_x000d_TW1 4HJ_x000d__x000d_"/>
    <s v="TW1 4HJ"/>
    <m/>
    <m/>
    <m/>
    <m/>
    <m/>
    <m/>
    <m/>
    <m/>
    <n v="0"/>
    <m/>
    <n v="1"/>
    <m/>
    <m/>
    <m/>
    <m/>
    <m/>
    <m/>
    <m/>
    <n v="1"/>
    <n v="1"/>
    <n v="0"/>
    <n v="0"/>
    <n v="0"/>
    <n v="0"/>
    <n v="0"/>
    <n v="0"/>
    <n v="0"/>
    <n v="1"/>
    <m/>
    <n v="0"/>
    <n v="0"/>
    <n v="0.25"/>
    <n v="0.25"/>
    <n v="0.25"/>
    <n v="0.25"/>
    <m/>
    <m/>
    <m/>
    <m/>
    <m/>
    <n v="1"/>
    <n v="515913"/>
    <n v="173384"/>
    <x v="10"/>
    <m/>
    <m/>
    <m/>
    <m/>
    <m/>
    <m/>
    <m/>
    <m/>
    <m/>
  </r>
  <r>
    <s v="18/2038/FUL"/>
    <x v="0"/>
    <x v="0"/>
    <d v="2019-02-12T00:00:00"/>
    <d v="2022-02-12T00:00:00"/>
    <m/>
    <m/>
    <x v="2"/>
    <x v="0"/>
    <m/>
    <s v="Demolition of existing building and construction of new building with basement."/>
    <s v="33 Parke Road_x000d_Barnes_x000d_London_x000d_SW13 9NJ"/>
    <s v="SW13 9NJ"/>
    <m/>
    <m/>
    <m/>
    <m/>
    <m/>
    <n v="1"/>
    <m/>
    <m/>
    <n v="1"/>
    <m/>
    <m/>
    <m/>
    <m/>
    <m/>
    <n v="1"/>
    <m/>
    <m/>
    <m/>
    <n v="1"/>
    <n v="0"/>
    <n v="0"/>
    <n v="0"/>
    <n v="0"/>
    <n v="1"/>
    <n v="-1"/>
    <n v="0"/>
    <n v="0"/>
    <n v="0"/>
    <m/>
    <n v="0"/>
    <n v="0"/>
    <n v="0"/>
    <n v="0"/>
    <n v="0"/>
    <n v="0"/>
    <m/>
    <m/>
    <m/>
    <m/>
    <m/>
    <n v="0"/>
    <n v="522063"/>
    <n v="177165"/>
    <x v="17"/>
    <m/>
    <m/>
    <m/>
    <m/>
    <m/>
    <m/>
    <m/>
    <m/>
    <m/>
  </r>
  <r>
    <s v="18/2328/GPD15"/>
    <x v="1"/>
    <x v="1"/>
    <d v="2018-09-14T00:00:00"/>
    <d v="2021-09-14T00:00:00"/>
    <m/>
    <m/>
    <x v="2"/>
    <x v="0"/>
    <m/>
    <s v="Change of use from B1 to C3 (1No. studio flat and 2No. one bed apartments)."/>
    <s v="4 Udney Park Road_x000d_Teddington_x000d_TW11 9BG_x000d_"/>
    <s v="TW11 9BG"/>
    <m/>
    <m/>
    <m/>
    <m/>
    <m/>
    <m/>
    <m/>
    <m/>
    <n v="0"/>
    <m/>
    <n v="3"/>
    <m/>
    <m/>
    <m/>
    <m/>
    <m/>
    <m/>
    <m/>
    <n v="3"/>
    <n v="3"/>
    <n v="0"/>
    <n v="0"/>
    <n v="0"/>
    <n v="0"/>
    <n v="0"/>
    <n v="0"/>
    <n v="0"/>
    <n v="3"/>
    <m/>
    <n v="0"/>
    <n v="0"/>
    <n v="0.75"/>
    <n v="0.75"/>
    <n v="0.75"/>
    <n v="0.75"/>
    <m/>
    <m/>
    <m/>
    <m/>
    <m/>
    <n v="3"/>
    <n v="516288"/>
    <n v="171091"/>
    <x v="0"/>
    <m/>
    <s v="Teddington"/>
    <m/>
    <m/>
    <m/>
    <m/>
    <m/>
    <m/>
    <m/>
  </r>
  <r>
    <s v="18/2716/GPD13"/>
    <x v="1"/>
    <x v="1"/>
    <d v="2018-10-08T00:00:00"/>
    <d v="2021-10-08T00:00:00"/>
    <m/>
    <m/>
    <x v="2"/>
    <x v="0"/>
    <m/>
    <s v="Change of use of premises from a A1 use to to C3 (residential use - 2 no studio flats and 1 x 1 bed flat with existing first floor flat above no. 561 to remain)"/>
    <s v="561 - 563 Upper Richmond Road West_x000d_East Sheen_x000d_London_x000d_SW14 7ED_x000d_"/>
    <s v="SW14 7ED"/>
    <m/>
    <m/>
    <m/>
    <m/>
    <m/>
    <m/>
    <m/>
    <m/>
    <n v="0"/>
    <m/>
    <n v="3"/>
    <m/>
    <m/>
    <m/>
    <m/>
    <m/>
    <m/>
    <m/>
    <n v="3"/>
    <n v="3"/>
    <n v="0"/>
    <n v="0"/>
    <n v="0"/>
    <n v="0"/>
    <n v="0"/>
    <n v="0"/>
    <n v="0"/>
    <n v="3"/>
    <m/>
    <n v="0"/>
    <n v="0"/>
    <n v="0.75"/>
    <n v="0.75"/>
    <n v="0.75"/>
    <n v="0.75"/>
    <m/>
    <m/>
    <m/>
    <m/>
    <m/>
    <n v="3"/>
    <n v="519756"/>
    <n v="175319"/>
    <x v="7"/>
    <m/>
    <m/>
    <m/>
    <m/>
    <m/>
    <m/>
    <m/>
    <m/>
    <m/>
  </r>
  <r>
    <s v="18/2943/FUL"/>
    <x v="4"/>
    <x v="0"/>
    <d v="2019-11-07T00:00:00"/>
    <d v="2022-11-07T00:00:00"/>
    <m/>
    <m/>
    <x v="2"/>
    <x v="0"/>
    <m/>
    <s v="Construction of part second floor extension to facilitate the creation of 6No. one bedroom flats with associated alterations, new bin and cycle storage and associated car parking."/>
    <s v="A1 - A3 Kingsway_x000d_Oldfield Road_x000d_Hampton_x000d_TW12 2HD"/>
    <s v="TW12 2HE"/>
    <m/>
    <m/>
    <m/>
    <m/>
    <m/>
    <m/>
    <m/>
    <m/>
    <n v="0"/>
    <m/>
    <n v="6"/>
    <m/>
    <m/>
    <m/>
    <m/>
    <m/>
    <m/>
    <m/>
    <n v="6"/>
    <n v="6"/>
    <n v="0"/>
    <n v="0"/>
    <n v="0"/>
    <n v="0"/>
    <n v="0"/>
    <n v="0"/>
    <n v="0"/>
    <n v="6"/>
    <m/>
    <n v="0"/>
    <n v="0"/>
    <n v="1.5"/>
    <n v="1.5"/>
    <n v="1.5"/>
    <n v="1.5"/>
    <m/>
    <m/>
    <m/>
    <m/>
    <m/>
    <n v="6"/>
    <n v="512869"/>
    <n v="169793"/>
    <x v="8"/>
    <m/>
    <m/>
    <m/>
    <m/>
    <m/>
    <m/>
    <m/>
    <m/>
    <m/>
  </r>
  <r>
    <s v="18/3003/FUL"/>
    <x v="0"/>
    <x v="0"/>
    <d v="2019-05-24T00:00:00"/>
    <d v="2022-05-24T00:00:00"/>
    <m/>
    <m/>
    <x v="2"/>
    <x v="0"/>
    <m/>
    <s v="Part single, part two-storey rear extension to facilitate the creation of a 1No. 2-bedroom (3 person) dwellinghouse with associated hard and soft landscaping, new boundary railings, sliding gate and timber fencing, cycle, refuse and recycle storage and fo"/>
    <s v="391 St Margarets Road_x000d_Twickenham_x000d_Isleworth_x000d_TW7 7BZ_x000d_"/>
    <s v="TW7 7BZ"/>
    <m/>
    <m/>
    <m/>
    <m/>
    <m/>
    <m/>
    <m/>
    <m/>
    <n v="0"/>
    <m/>
    <m/>
    <n v="1"/>
    <m/>
    <m/>
    <m/>
    <m/>
    <m/>
    <m/>
    <n v="1"/>
    <n v="0"/>
    <n v="1"/>
    <n v="0"/>
    <n v="0"/>
    <n v="0"/>
    <n v="0"/>
    <n v="0"/>
    <n v="0"/>
    <n v="1"/>
    <m/>
    <n v="0"/>
    <n v="0"/>
    <n v="0.25"/>
    <n v="0.25"/>
    <n v="0.25"/>
    <n v="0.25"/>
    <m/>
    <m/>
    <m/>
    <m/>
    <m/>
    <n v="1"/>
    <n v="516557"/>
    <n v="175273"/>
    <x v="1"/>
    <m/>
    <m/>
    <m/>
    <m/>
    <m/>
    <m/>
    <m/>
    <m/>
    <m/>
  </r>
  <r>
    <s v="18/3195/GPD15"/>
    <x v="1"/>
    <x v="1"/>
    <d v="2018-11-12T00:00:00"/>
    <d v="2021-11-12T00:00:00"/>
    <m/>
    <m/>
    <x v="2"/>
    <x v="0"/>
    <m/>
    <s v="Change of use of first and second floor B1(a) office accommodation to 1 x three bedroom C3 residential unit."/>
    <s v="75 Sheen Lane_x000d_East Sheen_x000d_London_x000d_SW14 8AD_x000d_"/>
    <s v="SW14 8AD"/>
    <m/>
    <m/>
    <m/>
    <m/>
    <m/>
    <m/>
    <m/>
    <m/>
    <n v="0"/>
    <m/>
    <m/>
    <m/>
    <n v="1"/>
    <m/>
    <m/>
    <m/>
    <m/>
    <m/>
    <n v="1"/>
    <n v="0"/>
    <n v="0"/>
    <n v="1"/>
    <n v="0"/>
    <n v="0"/>
    <n v="0"/>
    <n v="0"/>
    <n v="0"/>
    <n v="1"/>
    <m/>
    <n v="0"/>
    <n v="0"/>
    <n v="0.25"/>
    <n v="0.25"/>
    <n v="0.25"/>
    <n v="0.25"/>
    <m/>
    <m/>
    <m/>
    <m/>
    <m/>
    <n v="1"/>
    <n v="520495"/>
    <n v="175597"/>
    <x v="7"/>
    <m/>
    <s v="East Sheen"/>
    <m/>
    <m/>
    <m/>
    <m/>
    <m/>
    <s v="Conservation Area"/>
    <s v="CA70 Sheen Lane Mortlake"/>
  </r>
  <r>
    <s v="18/3285/FUL"/>
    <x v="0"/>
    <x v="0"/>
    <d v="2019-03-18T00:00:00"/>
    <d v="2022-03-18T00:00:00"/>
    <m/>
    <m/>
    <x v="2"/>
    <x v="0"/>
    <m/>
    <s v="Demolition of existing house and construction of a new 5 bed house with basement"/>
    <s v="74 Lowther Road_x000d_Barnes_x000d_London_x000d_SW13 9NU"/>
    <s v="SW13 9NU"/>
    <m/>
    <m/>
    <m/>
    <n v="1"/>
    <m/>
    <m/>
    <m/>
    <m/>
    <n v="1"/>
    <m/>
    <m/>
    <m/>
    <m/>
    <m/>
    <n v="1"/>
    <m/>
    <m/>
    <m/>
    <n v="1"/>
    <n v="0"/>
    <n v="0"/>
    <n v="0"/>
    <n v="-1"/>
    <n v="1"/>
    <n v="0"/>
    <n v="0"/>
    <n v="0"/>
    <n v="0"/>
    <m/>
    <n v="0"/>
    <n v="0"/>
    <n v="0"/>
    <n v="0"/>
    <n v="0"/>
    <n v="0"/>
    <m/>
    <m/>
    <m/>
    <m/>
    <m/>
    <n v="0"/>
    <n v="521978"/>
    <n v="177062"/>
    <x v="17"/>
    <m/>
    <m/>
    <m/>
    <m/>
    <m/>
    <m/>
    <m/>
    <m/>
    <m/>
  </r>
  <r>
    <s v="18/3460/FUL"/>
    <x v="2"/>
    <x v="0"/>
    <d v="2019-02-26T00:00:00"/>
    <d v="2022-02-26T00:00:00"/>
    <m/>
    <m/>
    <x v="2"/>
    <x v="0"/>
    <m/>
    <s v="Infill of internal void with new roof section over to facilitate conversion of existing three-bedroom dwelling (flat) above a retail unit to 2no. one-bed dwellings (flats) above retail unit._x000d_"/>
    <s v="20A Red Lion Street_x000d_Richmond_x000d_TW9 1RW"/>
    <s v="TW9 1RW"/>
    <m/>
    <m/>
    <n v="1"/>
    <m/>
    <m/>
    <m/>
    <m/>
    <m/>
    <n v="1"/>
    <m/>
    <n v="2"/>
    <m/>
    <m/>
    <m/>
    <m/>
    <m/>
    <m/>
    <n v="0"/>
    <n v="2"/>
    <n v="2"/>
    <n v="0"/>
    <n v="-1"/>
    <n v="0"/>
    <n v="0"/>
    <n v="0"/>
    <n v="0"/>
    <n v="0"/>
    <n v="1"/>
    <m/>
    <n v="0"/>
    <n v="0"/>
    <n v="0.25"/>
    <n v="0.25"/>
    <n v="0.25"/>
    <n v="0.25"/>
    <m/>
    <m/>
    <m/>
    <m/>
    <m/>
    <n v="1"/>
    <n v="517894"/>
    <n v="174757"/>
    <x v="4"/>
    <m/>
    <s v="Richmond"/>
    <m/>
    <m/>
    <m/>
    <m/>
    <m/>
    <s v="Conservation Area"/>
    <s v="CA17 Central Richmond"/>
  </r>
  <r>
    <s v="18/3613/GPD15"/>
    <x v="1"/>
    <x v="1"/>
    <d v="2018-12-28T00:00:00"/>
    <d v="2021-12-28T00:00:00"/>
    <m/>
    <m/>
    <x v="2"/>
    <x v="0"/>
    <m/>
    <s v="Change of use from office B1(a) to C3 (Resdiential) use to provide 1 x 1 bed dwellinghouse."/>
    <s v="108 Shacklegate Lane_x000d_Teddington_x000d_TW11 8SH_x000d_"/>
    <s v="TW11 8SH"/>
    <m/>
    <m/>
    <m/>
    <m/>
    <m/>
    <m/>
    <m/>
    <m/>
    <n v="0"/>
    <m/>
    <n v="1"/>
    <m/>
    <m/>
    <m/>
    <m/>
    <m/>
    <m/>
    <m/>
    <n v="1"/>
    <n v="1"/>
    <n v="0"/>
    <n v="0"/>
    <n v="0"/>
    <n v="0"/>
    <n v="0"/>
    <n v="0"/>
    <n v="0"/>
    <n v="1"/>
    <m/>
    <n v="0"/>
    <n v="0"/>
    <n v="0.25"/>
    <n v="0.25"/>
    <n v="0.25"/>
    <n v="0.25"/>
    <m/>
    <m/>
    <m/>
    <m/>
    <m/>
    <n v="1"/>
    <n v="515394"/>
    <n v="171656"/>
    <x v="11"/>
    <m/>
    <m/>
    <m/>
    <m/>
    <m/>
    <m/>
    <m/>
    <m/>
    <m/>
  </r>
  <r>
    <s v="18/3696/FUL"/>
    <x v="1"/>
    <x v="0"/>
    <d v="2019-02-08T00:00:00"/>
    <d v="2022-02-08T00:00:00"/>
    <m/>
    <m/>
    <x v="2"/>
    <x v="0"/>
    <m/>
    <s v="Change of use of existing A2 (Financial and professional services) to C3 (Residential) to create 1No. 1 bed flat; Fenestration alterations; Insertion of rooflights to single storey front projection and single storey side/rear extension."/>
    <s v="192 Heath Road_x000d_Twickenham_x000d_TW2 5TX"/>
    <s v="TW2 5TX"/>
    <m/>
    <m/>
    <m/>
    <m/>
    <m/>
    <m/>
    <m/>
    <m/>
    <n v="0"/>
    <m/>
    <n v="1"/>
    <m/>
    <m/>
    <m/>
    <m/>
    <m/>
    <m/>
    <m/>
    <n v="1"/>
    <n v="1"/>
    <n v="0"/>
    <n v="0"/>
    <n v="0"/>
    <n v="0"/>
    <n v="0"/>
    <n v="0"/>
    <n v="0"/>
    <n v="1"/>
    <m/>
    <n v="0"/>
    <n v="0"/>
    <n v="0.25"/>
    <n v="0.25"/>
    <n v="0.25"/>
    <n v="0.25"/>
    <m/>
    <m/>
    <m/>
    <m/>
    <m/>
    <n v="1"/>
    <n v="515502"/>
    <n v="173093"/>
    <x v="5"/>
    <m/>
    <m/>
    <m/>
    <s v="Mixed Use Area"/>
    <s v="Twickenham Green"/>
    <m/>
    <m/>
    <s v="Conservation Area"/>
    <s v="CA9 Twickenham Green"/>
  </r>
  <r>
    <s v="18/3930/FUL"/>
    <x v="0"/>
    <x v="0"/>
    <d v="2019-10-17T00:00:00"/>
    <d v="2022-10-17T00:00:00"/>
    <m/>
    <m/>
    <x v="2"/>
    <x v="0"/>
    <m/>
    <s v="Demolition of existing garage and erection of 1No. 2 storey with habitable roofspace 4 bed dwelling with associated hard and soft landscaping. Alterations to existing crossover and creation of a new crossover in front of No.38 Langham Road to facilitate p"/>
    <s v="38 Langham Road_x000d_Teddington_x000d_TW11 9HQ"/>
    <s v="TW11 9HQ"/>
    <m/>
    <m/>
    <m/>
    <m/>
    <m/>
    <m/>
    <m/>
    <m/>
    <n v="0"/>
    <m/>
    <m/>
    <m/>
    <m/>
    <n v="1"/>
    <m/>
    <m/>
    <m/>
    <m/>
    <n v="1"/>
    <n v="0"/>
    <n v="0"/>
    <n v="0"/>
    <n v="1"/>
    <n v="0"/>
    <n v="0"/>
    <n v="0"/>
    <n v="0"/>
    <n v="1"/>
    <m/>
    <n v="0"/>
    <n v="0"/>
    <n v="0.25"/>
    <n v="0.25"/>
    <n v="0.25"/>
    <n v="0.25"/>
    <m/>
    <m/>
    <m/>
    <m/>
    <m/>
    <n v="1"/>
    <n v="516550"/>
    <n v="171027"/>
    <x v="3"/>
    <s v="Garden Land"/>
    <m/>
    <m/>
    <m/>
    <m/>
    <m/>
    <m/>
    <m/>
    <m/>
  </r>
  <r>
    <s v="18/3950/FUL"/>
    <x v="1"/>
    <x v="0"/>
    <d v="2019-07-15T00:00:00"/>
    <d v="2022-07-15T00:00:00"/>
    <m/>
    <m/>
    <x v="2"/>
    <x v="1"/>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m/>
    <n v="7"/>
    <n v="3"/>
    <n v="1"/>
    <m/>
    <m/>
    <m/>
    <m/>
    <n v="11"/>
    <n v="0"/>
    <n v="7"/>
    <n v="3"/>
    <n v="1"/>
    <n v="0"/>
    <n v="0"/>
    <n v="0"/>
    <n v="0"/>
    <n v="11"/>
    <m/>
    <n v="0"/>
    <n v="0"/>
    <n v="0"/>
    <n v="5.5"/>
    <n v="5.5"/>
    <n v="0"/>
    <m/>
    <m/>
    <m/>
    <m/>
    <m/>
    <n v="11"/>
    <n v="518144"/>
    <n v="175553"/>
    <x v="12"/>
    <m/>
    <m/>
    <m/>
    <m/>
    <m/>
    <m/>
    <m/>
    <s v="Conservation Area"/>
    <s v="CA36 Kew Foot Road"/>
  </r>
  <r>
    <s v="18/3950/FUL"/>
    <x v="1"/>
    <x v="0"/>
    <d v="2019-07-15T00:00:00"/>
    <d v="2022-07-15T00:00:00"/>
    <m/>
    <m/>
    <x v="2"/>
    <x v="2"/>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s v="Y"/>
    <n v="4"/>
    <m/>
    <m/>
    <m/>
    <m/>
    <m/>
    <m/>
    <m/>
    <n v="4"/>
    <n v="4"/>
    <n v="0"/>
    <n v="0"/>
    <n v="0"/>
    <n v="0"/>
    <n v="0"/>
    <n v="0"/>
    <n v="0"/>
    <n v="4"/>
    <m/>
    <n v="0"/>
    <n v="0"/>
    <n v="0"/>
    <n v="2"/>
    <n v="2"/>
    <n v="0"/>
    <m/>
    <m/>
    <m/>
    <m/>
    <m/>
    <n v="4"/>
    <n v="518144"/>
    <n v="175553"/>
    <x v="12"/>
    <m/>
    <m/>
    <m/>
    <m/>
    <m/>
    <m/>
    <m/>
    <s v="Conservation Area"/>
    <s v="CA36 Kew Foot Road"/>
  </r>
  <r>
    <s v="18/3950/FUL"/>
    <x v="1"/>
    <x v="0"/>
    <d v="2019-07-15T00:00:00"/>
    <d v="2022-07-15T00:00:00"/>
    <m/>
    <m/>
    <x v="2"/>
    <x v="0"/>
    <m/>
    <s v="(1) Conversion of the existing health facilities (use class D1) to a mixed-use development providing 71 no. residential apartments (use class C3) and 500 sqm of D1 (Health) floorspace.  _x000d_(2) Restoration, alteration, extensions and demolition (mainly of la"/>
    <s v="Richmond Royal Hospital (Original Block)_x000d_Kew Foot Road_x000d_Richmond_x000d_TW9 2TE_x000d_"/>
    <s v="TW9 2TE"/>
    <m/>
    <m/>
    <m/>
    <m/>
    <m/>
    <m/>
    <m/>
    <m/>
    <n v="0"/>
    <m/>
    <n v="21"/>
    <n v="31"/>
    <n v="2"/>
    <n v="2"/>
    <m/>
    <m/>
    <m/>
    <m/>
    <n v="56"/>
    <n v="21"/>
    <n v="31"/>
    <n v="2"/>
    <n v="2"/>
    <n v="0"/>
    <n v="0"/>
    <n v="0"/>
    <n v="0"/>
    <n v="56"/>
    <m/>
    <n v="0"/>
    <n v="0"/>
    <n v="0"/>
    <n v="28"/>
    <n v="28"/>
    <n v="0"/>
    <m/>
    <m/>
    <m/>
    <m/>
    <m/>
    <n v="56"/>
    <n v="518144"/>
    <n v="175553"/>
    <x v="12"/>
    <m/>
    <m/>
    <m/>
    <m/>
    <m/>
    <m/>
    <m/>
    <s v="Conservation Area"/>
    <s v="CA36 Kew Foot Road"/>
  </r>
  <r>
    <s v="18/3952/FUL"/>
    <x v="0"/>
    <x v="0"/>
    <d v="2019-03-29T00:00:00"/>
    <d v="2022-04-01T00:00:00"/>
    <m/>
    <m/>
    <x v="2"/>
    <x v="0"/>
    <m/>
    <s v="Replacement of existing dwelling with 1 no. 2 storey with accommodation in the roof (5B10P) dwellinghouse and new pedestrian gate."/>
    <s v="45 Ormond Crescent_x000d_Hampton_x000d_TW12 2TJ"/>
    <s v="TW12 2TJ"/>
    <m/>
    <m/>
    <m/>
    <m/>
    <n v="1"/>
    <m/>
    <m/>
    <m/>
    <n v="1"/>
    <m/>
    <m/>
    <m/>
    <m/>
    <m/>
    <n v="1"/>
    <m/>
    <m/>
    <m/>
    <n v="1"/>
    <n v="0"/>
    <n v="0"/>
    <n v="0"/>
    <n v="0"/>
    <n v="0"/>
    <n v="0"/>
    <n v="0"/>
    <n v="0"/>
    <n v="0"/>
    <m/>
    <n v="0"/>
    <n v="0"/>
    <n v="0"/>
    <n v="0"/>
    <n v="0"/>
    <n v="0"/>
    <m/>
    <m/>
    <m/>
    <m/>
    <m/>
    <n v="0"/>
    <n v="513943"/>
    <n v="170016"/>
    <x v="8"/>
    <m/>
    <m/>
    <m/>
    <m/>
    <m/>
    <m/>
    <m/>
    <m/>
    <m/>
  </r>
  <r>
    <s v="18/3954/FUL"/>
    <x v="0"/>
    <x v="0"/>
    <d v="2019-07-08T00:00:00"/>
    <d v="2022-06-24T00:00:00"/>
    <m/>
    <m/>
    <x v="2"/>
    <x v="0"/>
    <m/>
    <s v="Demolition of existing two-storey dwelling house and construction of replacement 7-bedroom, 2-storey dwelling house (with accommodation in the roof space) and associated landscaping and new front boundary treatment."/>
    <s v="20 Sheen Common Drive_x000d_Richmond_x000d_TW10 5BN"/>
    <s v="TW10 5BN"/>
    <m/>
    <m/>
    <m/>
    <n v="1"/>
    <m/>
    <m/>
    <m/>
    <m/>
    <n v="1"/>
    <m/>
    <m/>
    <m/>
    <m/>
    <m/>
    <m/>
    <m/>
    <n v="1"/>
    <m/>
    <n v="1"/>
    <n v="0"/>
    <n v="0"/>
    <n v="0"/>
    <n v="-1"/>
    <n v="0"/>
    <n v="0"/>
    <n v="1"/>
    <n v="0"/>
    <n v="0"/>
    <m/>
    <n v="0"/>
    <n v="0"/>
    <n v="0"/>
    <n v="0"/>
    <n v="0"/>
    <n v="0"/>
    <m/>
    <m/>
    <m/>
    <m/>
    <m/>
    <n v="0"/>
    <n v="519436"/>
    <n v="174990"/>
    <x v="4"/>
    <m/>
    <m/>
    <m/>
    <m/>
    <m/>
    <m/>
    <m/>
    <s v="Conservation Area"/>
    <s v="CA69 Sheen Common Drive"/>
  </r>
  <r>
    <s v="18/4125/FUL"/>
    <x v="2"/>
    <x v="0"/>
    <d v="2019-02-06T00:00:00"/>
    <d v="2022-02-06T00:00:00"/>
    <m/>
    <m/>
    <x v="2"/>
    <x v="0"/>
    <m/>
    <s v="Alterations and extensions to existing building comprising 1) single storey side/rear extension, 2) new gable roof extension, new window, pitched roof to existing two storey bay window and 1 rooflight to front elevation; 3) dormer roof extension to main r"/>
    <s v="85 Connaught Road_x000d_Teddington_x000d_TW11 0QQ_x000d_"/>
    <s v="TW11 0QQ"/>
    <m/>
    <n v="1"/>
    <n v="1"/>
    <m/>
    <m/>
    <m/>
    <m/>
    <m/>
    <n v="2"/>
    <m/>
    <n v="2"/>
    <n v="1"/>
    <n v="1"/>
    <m/>
    <m/>
    <m/>
    <m/>
    <m/>
    <n v="4"/>
    <n v="2"/>
    <n v="0"/>
    <n v="0"/>
    <n v="0"/>
    <n v="0"/>
    <n v="0"/>
    <n v="0"/>
    <n v="0"/>
    <n v="2"/>
    <m/>
    <n v="0"/>
    <n v="0"/>
    <n v="0.5"/>
    <n v="0.5"/>
    <n v="0.5"/>
    <n v="0.5"/>
    <m/>
    <m/>
    <m/>
    <m/>
    <m/>
    <n v="2"/>
    <n v="514632"/>
    <n v="171370"/>
    <x v="11"/>
    <m/>
    <m/>
    <m/>
    <m/>
    <m/>
    <m/>
    <m/>
    <m/>
    <m/>
  </r>
  <r>
    <s v="18/4138/FUL"/>
    <x v="0"/>
    <x v="0"/>
    <d v="2019-11-11T00:00:00"/>
    <d v="2022-11-11T00:00:00"/>
    <d v="2020-04-14T00:00:00"/>
    <m/>
    <x v="2"/>
    <x v="0"/>
    <m/>
    <s v="Demolition of existing dwelling and construction of two-storey five-bedroom (10-Person) dwelling with basement and associated landscaping and refuse/recycling and cycle storage."/>
    <s v="2 West Park Avenue_x000d_Kew_x000d_Richmond_x000d_TW9 4AL_x000d_"/>
    <s v="TW9 4AL"/>
    <m/>
    <m/>
    <m/>
    <m/>
    <n v="1"/>
    <m/>
    <m/>
    <m/>
    <n v="1"/>
    <m/>
    <m/>
    <m/>
    <m/>
    <m/>
    <n v="1"/>
    <m/>
    <m/>
    <m/>
    <n v="1"/>
    <n v="0"/>
    <n v="0"/>
    <n v="0"/>
    <n v="0"/>
    <n v="0"/>
    <n v="0"/>
    <n v="0"/>
    <n v="0"/>
    <n v="0"/>
    <m/>
    <n v="0"/>
    <n v="0"/>
    <n v="0"/>
    <n v="0"/>
    <n v="0"/>
    <n v="0"/>
    <m/>
    <m/>
    <m/>
    <m/>
    <m/>
    <n v="0"/>
    <n v="519487"/>
    <n v="176661"/>
    <x v="9"/>
    <m/>
    <m/>
    <m/>
    <m/>
    <m/>
    <m/>
    <m/>
    <m/>
    <m/>
  </r>
  <r>
    <s v="18/4183/FUL"/>
    <x v="0"/>
    <x v="0"/>
    <d v="2019-07-25T00:00:00"/>
    <d v="2022-07-25T00:00:00"/>
    <m/>
    <m/>
    <x v="2"/>
    <x v="0"/>
    <m/>
    <s v="Demolition of existing garage compound and erection of one detached dwelling with 2 parking spaces, turning area, landscaping and tree planting."/>
    <s v="Garage Site_x000d_Rosslyn Avenue/Treen Avenue_x000d_Barnes_x000d_London_x000d_SW13 0JT"/>
    <s v="SW13 0JT"/>
    <m/>
    <m/>
    <m/>
    <m/>
    <m/>
    <m/>
    <m/>
    <m/>
    <n v="0"/>
    <m/>
    <m/>
    <m/>
    <n v="1"/>
    <m/>
    <m/>
    <m/>
    <m/>
    <m/>
    <n v="1"/>
    <n v="0"/>
    <n v="0"/>
    <n v="1"/>
    <n v="0"/>
    <n v="0"/>
    <n v="0"/>
    <n v="0"/>
    <n v="0"/>
    <n v="1"/>
    <m/>
    <n v="0"/>
    <n v="0"/>
    <n v="0.25"/>
    <n v="0.25"/>
    <n v="0.25"/>
    <n v="0.25"/>
    <m/>
    <m/>
    <m/>
    <m/>
    <m/>
    <n v="1"/>
    <n v="521611"/>
    <n v="175705"/>
    <x v="6"/>
    <m/>
    <m/>
    <m/>
    <m/>
    <m/>
    <m/>
    <m/>
    <m/>
    <m/>
  </r>
  <r>
    <s v="18/4259/FUL"/>
    <x v="2"/>
    <x v="0"/>
    <d v="2019-09-23T00:00:00"/>
    <d v="2022-09-23T00:00:00"/>
    <m/>
    <m/>
    <x v="2"/>
    <x v="0"/>
    <m/>
    <s v="Reversion of existing block of two maisonettes to  single dwelling house, replacement of existing rear dormer with mansard roof and two dormers to rear elevation, addition of green sedum roof to new mansard and replacement of front elevation roof light wi"/>
    <s v="44 Nassau Road_x000d_Barnes_x000d_London_x000d_SW13 9QE_x000d_"/>
    <s v="SW13 9QE"/>
    <n v="1"/>
    <m/>
    <m/>
    <n v="1"/>
    <m/>
    <m/>
    <m/>
    <m/>
    <n v="2"/>
    <m/>
    <m/>
    <m/>
    <m/>
    <m/>
    <m/>
    <n v="1"/>
    <m/>
    <m/>
    <n v="1"/>
    <n v="-1"/>
    <n v="0"/>
    <n v="0"/>
    <n v="-1"/>
    <n v="0"/>
    <n v="1"/>
    <n v="0"/>
    <n v="0"/>
    <n v="-1"/>
    <m/>
    <n v="0"/>
    <n v="0"/>
    <n v="-0.25"/>
    <n v="-0.25"/>
    <n v="-0.25"/>
    <n v="-0.25"/>
    <m/>
    <m/>
    <m/>
    <m/>
    <m/>
    <n v="-1"/>
    <n v="521753"/>
    <n v="176604"/>
    <x v="17"/>
    <m/>
    <m/>
    <m/>
    <m/>
    <m/>
    <m/>
    <m/>
    <m/>
    <m/>
  </r>
  <r>
    <s v="19/0171/GPD15"/>
    <x v="1"/>
    <x v="1"/>
    <d v="2019-03-19T00:00:00"/>
    <d v="2022-03-19T00:00:00"/>
    <m/>
    <m/>
    <x v="2"/>
    <x v="0"/>
    <m/>
    <s v="Change of use from B1 (Offices) to C3(a) (Dwellings) (2 x 2 bed)."/>
    <s v="62 Glentham Road_x000d_Barnes_x000d_London_x000d_SW13 9JJ_x000d_"/>
    <s v="SW13 9JJ"/>
    <m/>
    <m/>
    <m/>
    <m/>
    <m/>
    <m/>
    <m/>
    <m/>
    <n v="0"/>
    <m/>
    <m/>
    <n v="2"/>
    <m/>
    <m/>
    <m/>
    <m/>
    <m/>
    <m/>
    <n v="2"/>
    <n v="0"/>
    <n v="2"/>
    <n v="0"/>
    <n v="0"/>
    <n v="0"/>
    <n v="0"/>
    <n v="0"/>
    <n v="0"/>
    <n v="2"/>
    <m/>
    <n v="0"/>
    <n v="0"/>
    <n v="0.5"/>
    <n v="0.5"/>
    <n v="0.5"/>
    <n v="0.5"/>
    <m/>
    <m/>
    <m/>
    <m/>
    <m/>
    <n v="2"/>
    <n v="522531"/>
    <n v="177884"/>
    <x v="17"/>
    <m/>
    <m/>
    <m/>
    <m/>
    <m/>
    <m/>
    <m/>
    <s v="Conservation Area"/>
    <s v="CA25 Castelnau"/>
  </r>
  <r>
    <s v="19/0175/FUL"/>
    <x v="0"/>
    <x v="0"/>
    <d v="2019-05-09T00:00:00"/>
    <d v="2022-05-09T00:00:00"/>
    <m/>
    <m/>
    <x v="2"/>
    <x v="0"/>
    <m/>
    <s v="Demolition of existing one-bedroom, two-storey dwelling and construction of one-bedroom, one-person single-storey dwelling."/>
    <s v="The Haven _x000d_Eel Pie Island_x000d_Twickenham_x000d_TW1 3DY"/>
    <s v="TW1 3DY"/>
    <n v="1"/>
    <m/>
    <m/>
    <m/>
    <m/>
    <m/>
    <m/>
    <m/>
    <n v="1"/>
    <m/>
    <n v="1"/>
    <m/>
    <m/>
    <m/>
    <m/>
    <m/>
    <m/>
    <m/>
    <n v="1"/>
    <n v="0"/>
    <n v="0"/>
    <n v="0"/>
    <n v="0"/>
    <n v="0"/>
    <n v="0"/>
    <n v="0"/>
    <n v="0"/>
    <n v="0"/>
    <m/>
    <n v="0"/>
    <n v="0"/>
    <n v="0"/>
    <n v="0"/>
    <n v="0"/>
    <n v="0"/>
    <m/>
    <m/>
    <m/>
    <m/>
    <m/>
    <n v="0"/>
    <n v="516414"/>
    <n v="173065"/>
    <x v="10"/>
    <m/>
    <m/>
    <s v="Thames Policy Area"/>
    <m/>
    <m/>
    <m/>
    <m/>
    <s v="Conservation Area"/>
    <s v="CA8 Twickenham Riverside"/>
  </r>
  <r>
    <s v="19/0228/FUL"/>
    <x v="2"/>
    <x v="0"/>
    <d v="2019-06-28T00:00:00"/>
    <d v="2022-06-28T00:00:00"/>
    <m/>
    <m/>
    <x v="2"/>
    <x v="0"/>
    <m/>
    <s v="Division of the existing dwelling house into two residential units in the form of semi detached houses. The demolition of the existing adjoined garage and alterations to fenestration."/>
    <s v="173 Kew Road_x000d_Richmond_x000d_TW9 2BB"/>
    <s v="TW9 2BB"/>
    <m/>
    <m/>
    <m/>
    <m/>
    <m/>
    <m/>
    <n v="1"/>
    <m/>
    <n v="1"/>
    <m/>
    <m/>
    <m/>
    <n v="1"/>
    <n v="1"/>
    <m/>
    <m/>
    <m/>
    <m/>
    <n v="2"/>
    <n v="0"/>
    <n v="0"/>
    <n v="1"/>
    <n v="1"/>
    <n v="0"/>
    <n v="0"/>
    <n v="-1"/>
    <n v="0"/>
    <n v="1"/>
    <m/>
    <n v="0"/>
    <n v="0"/>
    <n v="0.25"/>
    <n v="0.25"/>
    <n v="0.25"/>
    <n v="0.25"/>
    <m/>
    <m/>
    <m/>
    <m/>
    <m/>
    <n v="1"/>
    <n v="518380"/>
    <n v="175623"/>
    <x v="12"/>
    <m/>
    <m/>
    <m/>
    <m/>
    <m/>
    <m/>
    <m/>
    <s v="Conservation Area"/>
    <s v="CA36 Kew Foot Road"/>
  </r>
  <r>
    <s v="19/0338/FUL"/>
    <x v="0"/>
    <x v="0"/>
    <d v="2019-05-24T00:00:00"/>
    <d v="2022-05-24T00:00:00"/>
    <m/>
    <m/>
    <x v="2"/>
    <x v="0"/>
    <m/>
    <s v="Demolition of existing 3-bedroom bungalow and erection of a new 3-bedroom detached house with basement level."/>
    <s v="48 Fourth Cross Road_x000d_Twickenham_x000d_TW2 5EL"/>
    <s v="TW2 5EL"/>
    <m/>
    <m/>
    <n v="1"/>
    <m/>
    <m/>
    <m/>
    <m/>
    <m/>
    <n v="1"/>
    <m/>
    <m/>
    <m/>
    <n v="1"/>
    <m/>
    <m/>
    <m/>
    <m/>
    <m/>
    <n v="1"/>
    <n v="0"/>
    <n v="0"/>
    <n v="0"/>
    <n v="0"/>
    <n v="0"/>
    <n v="0"/>
    <n v="0"/>
    <n v="0"/>
    <n v="0"/>
    <m/>
    <n v="0"/>
    <n v="0"/>
    <n v="0"/>
    <n v="0"/>
    <n v="0"/>
    <n v="0"/>
    <m/>
    <m/>
    <m/>
    <m/>
    <m/>
    <n v="0"/>
    <n v="514720"/>
    <n v="172712"/>
    <x v="2"/>
    <m/>
    <m/>
    <m/>
    <m/>
    <m/>
    <m/>
    <m/>
    <m/>
    <m/>
  </r>
  <r>
    <s v="19/0382/FUL"/>
    <x v="0"/>
    <x v="0"/>
    <d v="2019-12-05T00:00:00"/>
    <d v="2022-12-05T00:00:00"/>
    <m/>
    <m/>
    <x v="2"/>
    <x v="0"/>
    <m/>
    <s v="Erection of two-storey detached dwellinghouse and basement with sunken courtyard and green wall.  New brick wall and pedestrian gate to Popes Avenue frontage, new parking and hard and soft landscaping."/>
    <s v="Ajanta _x000d_13 Walpole Gardens_x000d_Twickenham_x000d_TW2 5SL"/>
    <s v="TW2 5SL"/>
    <m/>
    <m/>
    <m/>
    <m/>
    <m/>
    <m/>
    <m/>
    <m/>
    <n v="0"/>
    <m/>
    <m/>
    <m/>
    <n v="1"/>
    <m/>
    <m/>
    <m/>
    <m/>
    <m/>
    <n v="1"/>
    <n v="0"/>
    <n v="0"/>
    <n v="1"/>
    <n v="0"/>
    <n v="0"/>
    <n v="0"/>
    <n v="0"/>
    <n v="0"/>
    <n v="1"/>
    <m/>
    <n v="0"/>
    <n v="0"/>
    <n v="0.25"/>
    <n v="0.25"/>
    <n v="0.25"/>
    <n v="0.25"/>
    <m/>
    <m/>
    <m/>
    <m/>
    <m/>
    <n v="1"/>
    <n v="515414"/>
    <n v="172536"/>
    <x v="5"/>
    <s v="Garden Land"/>
    <m/>
    <m/>
    <m/>
    <m/>
    <m/>
    <m/>
    <m/>
    <m/>
  </r>
  <r>
    <s v="19/0391/FUL"/>
    <x v="0"/>
    <x v="0"/>
    <d v="2020-02-20T00:00:00"/>
    <d v="2023-02-20T00:00:00"/>
    <m/>
    <m/>
    <x v="2"/>
    <x v="0"/>
    <m/>
    <s v="Demolition all buildings on site and the erection of a three-storey building and a part one, two-storey building comprising (3 x 1 bedroom and 4 x 2 bedroom) flats and approximately 805 sqm of flexible B1/D1 and flexible B1/D2 commercial floorspace, surfa"/>
    <s v="26-28 _x000d_Priests Bridge_x000d_East Sheen_x000d_London_x000d_SW14 8TA"/>
    <s v="SW14 8TA"/>
    <m/>
    <m/>
    <m/>
    <m/>
    <m/>
    <m/>
    <m/>
    <m/>
    <n v="0"/>
    <m/>
    <n v="3"/>
    <n v="4"/>
    <m/>
    <m/>
    <m/>
    <m/>
    <m/>
    <m/>
    <n v="7"/>
    <n v="3"/>
    <n v="4"/>
    <n v="0"/>
    <n v="0"/>
    <n v="0"/>
    <n v="0"/>
    <n v="0"/>
    <n v="0"/>
    <n v="7"/>
    <m/>
    <n v="0"/>
    <n v="0"/>
    <n v="1.75"/>
    <n v="1.75"/>
    <n v="1.75"/>
    <n v="1.75"/>
    <m/>
    <m/>
    <m/>
    <m/>
    <m/>
    <n v="7"/>
    <n v="521492"/>
    <n v="175545"/>
    <x v="6"/>
    <m/>
    <m/>
    <m/>
    <s v="Mixed Use Area"/>
    <s v="Priests Bridge"/>
    <m/>
    <m/>
    <m/>
    <m/>
  </r>
  <r>
    <s v="19/0414/FUL"/>
    <x v="0"/>
    <x v="0"/>
    <d v="2020-01-22T00:00:00"/>
    <d v="2023-01-23T00:00:00"/>
    <m/>
    <m/>
    <x v="2"/>
    <x v="0"/>
    <m/>
    <s v="Erection of 2No 3-bed, 6-person houses with associated hard and soft landscaping, cycle and refuse stores and car parking on land to rear of 56 and 58 Harvey Road."/>
    <s v="56 - 58 Harvey Road_x000d_Whitton_x000d__x000d_"/>
    <s v="TW4 5LU"/>
    <m/>
    <m/>
    <m/>
    <m/>
    <m/>
    <m/>
    <m/>
    <m/>
    <n v="0"/>
    <m/>
    <m/>
    <m/>
    <n v="2"/>
    <m/>
    <m/>
    <m/>
    <m/>
    <m/>
    <n v="2"/>
    <n v="0"/>
    <n v="0"/>
    <n v="2"/>
    <n v="0"/>
    <n v="0"/>
    <n v="0"/>
    <n v="0"/>
    <n v="0"/>
    <n v="2"/>
    <m/>
    <n v="0"/>
    <n v="0"/>
    <n v="0.5"/>
    <n v="0.5"/>
    <n v="0.5"/>
    <n v="0.5"/>
    <m/>
    <m/>
    <m/>
    <m/>
    <m/>
    <n v="2"/>
    <n v="513048"/>
    <n v="173758"/>
    <x v="14"/>
    <s v="Garden Land"/>
    <m/>
    <m/>
    <m/>
    <m/>
    <m/>
    <m/>
    <m/>
    <m/>
  </r>
  <r>
    <s v="19/0823/GPD13"/>
    <x v="1"/>
    <x v="1"/>
    <d v="2019-05-07T00:00:00"/>
    <d v="2022-05-07T00:00:00"/>
    <m/>
    <m/>
    <x v="2"/>
    <x v="0"/>
    <m/>
    <s v="Conversion of commercial unit to self-contained 2no. bedroom unit"/>
    <s v="203 Sandycombe Road_x000d_Richmond_x000d_TW9 2EW_x000d_"/>
    <s v="TW9 2EW"/>
    <m/>
    <m/>
    <m/>
    <m/>
    <m/>
    <m/>
    <m/>
    <m/>
    <n v="0"/>
    <m/>
    <m/>
    <n v="1"/>
    <m/>
    <m/>
    <m/>
    <m/>
    <m/>
    <m/>
    <n v="1"/>
    <n v="0"/>
    <n v="1"/>
    <n v="0"/>
    <n v="0"/>
    <n v="0"/>
    <n v="0"/>
    <n v="0"/>
    <n v="0"/>
    <n v="1"/>
    <m/>
    <n v="0"/>
    <n v="0"/>
    <n v="0.25"/>
    <n v="0.25"/>
    <n v="0.25"/>
    <n v="0.25"/>
    <m/>
    <m/>
    <m/>
    <m/>
    <m/>
    <n v="1"/>
    <n v="519091"/>
    <n v="176195"/>
    <x v="9"/>
    <m/>
    <m/>
    <m/>
    <m/>
    <m/>
    <m/>
    <m/>
    <m/>
    <m/>
  </r>
  <r>
    <s v="19/0847/FUL"/>
    <x v="0"/>
    <x v="0"/>
    <d v="2019-12-23T00:00:00"/>
    <d v="2022-12-24T00:00:00"/>
    <m/>
    <m/>
    <x v="2"/>
    <x v="0"/>
    <m/>
    <s v="Demolition of existing bungalow and garage and construction of a new two-storey four bedroom house, with associated hard and soft landscaping, cycle and refuse stores and parking."/>
    <s v="8 St Albans Gardens_x000d_Teddington_x000d_TW11 8AE"/>
    <s v="TW11 8AE"/>
    <m/>
    <n v="1"/>
    <m/>
    <m/>
    <m/>
    <m/>
    <m/>
    <m/>
    <n v="1"/>
    <m/>
    <m/>
    <m/>
    <m/>
    <n v="1"/>
    <m/>
    <m/>
    <m/>
    <m/>
    <n v="1"/>
    <n v="0"/>
    <n v="-1"/>
    <n v="0"/>
    <n v="1"/>
    <n v="0"/>
    <n v="0"/>
    <n v="0"/>
    <n v="0"/>
    <n v="0"/>
    <m/>
    <n v="0"/>
    <n v="0"/>
    <n v="0"/>
    <n v="0"/>
    <n v="0"/>
    <n v="0"/>
    <m/>
    <m/>
    <m/>
    <m/>
    <m/>
    <n v="0"/>
    <n v="516412"/>
    <n v="171302"/>
    <x v="0"/>
    <m/>
    <m/>
    <m/>
    <m/>
    <m/>
    <m/>
    <m/>
    <m/>
    <m/>
  </r>
  <r>
    <s v="19/0911/FUL"/>
    <x v="4"/>
    <x v="0"/>
    <d v="2020-01-17T00:00:00"/>
    <d v="2023-02-05T00:00:00"/>
    <m/>
    <m/>
    <x v="2"/>
    <x v="0"/>
    <m/>
    <s v="Proposed construction of additional floor level to create 2 no. additional two bed flats, together with a three storey side extension in the form of a bay window, change to existing fenestration and addition of 8 no. balconies at first and second floor le"/>
    <s v="Wick House, 10 Station Road, Hampton Wick, KT1 4HF_x000a_"/>
    <s v="KT2 4HF"/>
    <m/>
    <m/>
    <m/>
    <m/>
    <m/>
    <m/>
    <m/>
    <m/>
    <n v="0"/>
    <m/>
    <m/>
    <n v="2"/>
    <m/>
    <m/>
    <m/>
    <m/>
    <m/>
    <n v="0"/>
    <n v="2"/>
    <n v="0"/>
    <n v="2"/>
    <n v="0"/>
    <n v="0"/>
    <n v="0"/>
    <n v="0"/>
    <n v="0"/>
    <n v="0"/>
    <n v="2"/>
    <m/>
    <n v="0"/>
    <n v="0"/>
    <n v="0.5"/>
    <n v="0.5"/>
    <n v="0.5"/>
    <n v="0.5"/>
    <m/>
    <m/>
    <m/>
    <m/>
    <m/>
    <n v="2"/>
    <n v="517543"/>
    <n v="169767"/>
    <x v="3"/>
    <m/>
    <m/>
    <m/>
    <m/>
    <m/>
    <m/>
    <m/>
    <m/>
    <m/>
  </r>
  <r>
    <s v="19/1029/FUL"/>
    <x v="4"/>
    <x v="0"/>
    <d v="2019-09-17T00:00:00"/>
    <d v="2022-09-17T00:00:00"/>
    <m/>
    <m/>
    <x v="2"/>
    <x v="0"/>
    <m/>
    <s v="Demolition of existing single-storey side garage and workroom. Alterations to no. 67 comprising single storey rear extension, replacement roof, rear dormer roof extension and 2 no. rooflight on front roof slope. Erection of a new two-storey 4 bedroom dwel"/>
    <s v="67 Park Road_x000d_Hampton Hill_x000d_TW12 1HU"/>
    <s v="TW12 1HU"/>
    <m/>
    <m/>
    <n v="1"/>
    <m/>
    <m/>
    <m/>
    <m/>
    <m/>
    <n v="1"/>
    <m/>
    <m/>
    <m/>
    <m/>
    <n v="2"/>
    <m/>
    <m/>
    <m/>
    <m/>
    <n v="2"/>
    <n v="0"/>
    <n v="0"/>
    <n v="-1"/>
    <n v="2"/>
    <n v="0"/>
    <n v="0"/>
    <n v="0"/>
    <n v="0"/>
    <n v="1"/>
    <m/>
    <n v="0"/>
    <n v="0"/>
    <n v="0.25"/>
    <n v="0.25"/>
    <n v="0.25"/>
    <n v="0.25"/>
    <m/>
    <m/>
    <m/>
    <m/>
    <m/>
    <n v="1"/>
    <n v="513857"/>
    <n v="171464"/>
    <x v="11"/>
    <s v="Garden Land"/>
    <m/>
    <m/>
    <m/>
    <m/>
    <m/>
    <m/>
    <m/>
    <m/>
  </r>
  <r>
    <s v="19/1033/GPD23"/>
    <x v="1"/>
    <x v="1"/>
    <d v="2019-06-05T00:00:00"/>
    <d v="2022-06-05T00:00:00"/>
    <m/>
    <m/>
    <x v="2"/>
    <x v="0"/>
    <m/>
    <s v="Change of use from premises in light industrial use (Class B1(c)) to one dwelling house (Class C3)."/>
    <s v="Unit 1 Hampton Works Rear Of_x000d_119 Sheen Lane_x000d_East Sheen_x000d_London_x000d__x000d_"/>
    <m/>
    <m/>
    <m/>
    <m/>
    <m/>
    <m/>
    <m/>
    <m/>
    <m/>
    <n v="0"/>
    <m/>
    <m/>
    <n v="1"/>
    <m/>
    <m/>
    <m/>
    <m/>
    <m/>
    <m/>
    <n v="1"/>
    <n v="0"/>
    <n v="1"/>
    <n v="0"/>
    <n v="0"/>
    <n v="0"/>
    <n v="0"/>
    <n v="0"/>
    <n v="0"/>
    <n v="1"/>
    <m/>
    <n v="0"/>
    <n v="0"/>
    <n v="0.25"/>
    <n v="0.25"/>
    <n v="0.25"/>
    <n v="0.25"/>
    <m/>
    <m/>
    <m/>
    <m/>
    <m/>
    <n v="1"/>
    <n v="520517"/>
    <n v="175507"/>
    <x v="7"/>
    <m/>
    <s v="East Sheen"/>
    <m/>
    <m/>
    <m/>
    <m/>
    <m/>
    <s v="Conservation Area"/>
    <s v="CA70 Sheen Lane Mortlake"/>
  </r>
  <r>
    <s v="19/1098/FUL"/>
    <x v="0"/>
    <x v="0"/>
    <d v="2019-08-23T00:00:00"/>
    <d v="2022-08-27T00:00:00"/>
    <m/>
    <m/>
    <x v="2"/>
    <x v="0"/>
    <m/>
    <s v="Demolition of detached house, construction of four classrooms and a multi use hall complete with change of use from residential to education."/>
    <s v="190 Sheen Lane_x000d_East Sheen_x000d_London_x000d_SW14 8LF_x000d_"/>
    <s v="SW14 8LF"/>
    <m/>
    <m/>
    <n v="1"/>
    <m/>
    <m/>
    <m/>
    <m/>
    <m/>
    <n v="1"/>
    <m/>
    <m/>
    <m/>
    <m/>
    <m/>
    <m/>
    <m/>
    <m/>
    <m/>
    <n v="0"/>
    <n v="0"/>
    <n v="0"/>
    <n v="-1"/>
    <n v="0"/>
    <n v="0"/>
    <n v="0"/>
    <n v="0"/>
    <n v="0"/>
    <n v="-1"/>
    <m/>
    <n v="0"/>
    <n v="0"/>
    <n v="-0.25"/>
    <n v="-0.25"/>
    <n v="-0.25"/>
    <n v="-0.25"/>
    <m/>
    <m/>
    <m/>
    <m/>
    <m/>
    <n v="-1"/>
    <n v="520394"/>
    <n v="175127"/>
    <x v="7"/>
    <m/>
    <m/>
    <m/>
    <m/>
    <m/>
    <m/>
    <m/>
    <s v="Conservation Area"/>
    <s v="CA64 Sheen Lane East Sheen"/>
  </r>
  <r>
    <s v="19/1162/FUL"/>
    <x v="3"/>
    <x v="0"/>
    <d v="2020-03-20T00:00:00"/>
    <d v="2023-03-20T00:00:00"/>
    <m/>
    <m/>
    <x v="2"/>
    <x v="0"/>
    <m/>
    <s v="Part change of use of ground floor and rear garden from A1 to C3 (residential use) and replacement window on ground floor rear elevation to facilitate the conversion of existing 1 x 3 bed flat into 2 x 2 bed flats and associated cycle and refuse stores (R"/>
    <s v="82 - 84 Hill Rise_x000d_Richmond_x000d__x000d_"/>
    <s v="TW10 6UB"/>
    <m/>
    <m/>
    <n v="1"/>
    <m/>
    <m/>
    <m/>
    <m/>
    <m/>
    <n v="1"/>
    <m/>
    <m/>
    <n v="2"/>
    <m/>
    <m/>
    <m/>
    <m/>
    <m/>
    <m/>
    <n v="2"/>
    <n v="0"/>
    <n v="2"/>
    <n v="-1"/>
    <n v="0"/>
    <n v="0"/>
    <n v="0"/>
    <n v="0"/>
    <n v="0"/>
    <n v="1"/>
    <m/>
    <n v="0"/>
    <n v="0"/>
    <n v="0.25"/>
    <n v="0.25"/>
    <n v="0.25"/>
    <n v="0.25"/>
    <m/>
    <m/>
    <m/>
    <m/>
    <m/>
    <n v="1"/>
    <n v="517949"/>
    <n v="174506"/>
    <x v="4"/>
    <m/>
    <s v="Richmond"/>
    <m/>
    <m/>
    <m/>
    <m/>
    <m/>
    <s v="Conservation Area"/>
    <s v="CA5 Richmond Hill"/>
  </r>
  <r>
    <s v="19/1219/FUL"/>
    <x v="0"/>
    <x v="0"/>
    <d v="2019-12-11T00:00:00"/>
    <d v="2022-12-11T00:00:00"/>
    <m/>
    <m/>
    <x v="2"/>
    <x v="0"/>
    <m/>
    <s v="Replacement 2 storey 4 bedroom dwellinghouse with basement level and accommodation in the roof.  Associated hard and soft landscaping, cycle and refuse stores and parking."/>
    <s v="21 Sunbury Avenue_x000d_East Sheen_x000d_London_x000d_SW14 8RA"/>
    <s v="SW14 8RA"/>
    <m/>
    <n v="1"/>
    <m/>
    <m/>
    <m/>
    <m/>
    <m/>
    <m/>
    <n v="1"/>
    <m/>
    <m/>
    <m/>
    <n v="1"/>
    <m/>
    <m/>
    <m/>
    <m/>
    <m/>
    <n v="1"/>
    <n v="0"/>
    <n v="-1"/>
    <n v="1"/>
    <n v="0"/>
    <n v="0"/>
    <n v="0"/>
    <n v="0"/>
    <n v="0"/>
    <n v="0"/>
    <m/>
    <n v="0"/>
    <n v="0"/>
    <n v="0"/>
    <n v="0"/>
    <n v="0"/>
    <n v="0"/>
    <m/>
    <m/>
    <m/>
    <m/>
    <m/>
    <n v="0"/>
    <n v="520990"/>
    <n v="175033"/>
    <x v="7"/>
    <m/>
    <m/>
    <m/>
    <m/>
    <m/>
    <m/>
    <m/>
    <m/>
    <m/>
  </r>
  <r>
    <s v="19/1361/FUL"/>
    <x v="4"/>
    <x v="0"/>
    <d v="2019-07-16T00:00:00"/>
    <d v="2022-07-16T00:00:00"/>
    <d v="2020-06-17T00:00:00"/>
    <d v="2020-09-30T00:00:00"/>
    <x v="2"/>
    <x v="0"/>
    <m/>
    <s v="Extension of 4-bedroom single family dwelling house and conversion to divide into 2No. 2-bedroom houses."/>
    <s v="2F Fifth Cross Road_x000a_Twickenham_x000a_TW2 5LQ"/>
    <s v="TW2 5LQ"/>
    <m/>
    <m/>
    <m/>
    <n v="1"/>
    <m/>
    <m/>
    <m/>
    <m/>
    <n v="1"/>
    <m/>
    <m/>
    <n v="2"/>
    <m/>
    <m/>
    <m/>
    <m/>
    <m/>
    <m/>
    <n v="2"/>
    <n v="0"/>
    <n v="2"/>
    <n v="0"/>
    <n v="-1"/>
    <n v="0"/>
    <n v="0"/>
    <n v="0"/>
    <n v="0"/>
    <n v="1"/>
    <m/>
    <n v="0"/>
    <n v="1"/>
    <n v="0"/>
    <n v="0"/>
    <n v="0"/>
    <n v="0"/>
    <m/>
    <m/>
    <m/>
    <m/>
    <m/>
    <n v="1"/>
    <n v="514833"/>
    <n v="172367"/>
    <x v="2"/>
    <m/>
    <m/>
    <m/>
    <m/>
    <m/>
    <m/>
    <m/>
    <m/>
    <m/>
  </r>
  <r>
    <s v="19/1602/GPD15"/>
    <x v="1"/>
    <x v="1"/>
    <d v="2019-07-15T00:00:00"/>
    <d v="2022-07-15T00:00:00"/>
    <m/>
    <m/>
    <x v="2"/>
    <x v="0"/>
    <m/>
    <s v="Change of use from B1(a) (office) to C3 (residential) to provide 1 x 1 bed self-contained residential dwelling."/>
    <s v="106 Shacklegate Lane_x000d_Teddington_x000d_TW11 8SH_x000d_"/>
    <s v="TW11 8SH"/>
    <m/>
    <m/>
    <m/>
    <m/>
    <m/>
    <m/>
    <m/>
    <m/>
    <n v="0"/>
    <m/>
    <n v="1"/>
    <m/>
    <m/>
    <m/>
    <m/>
    <m/>
    <m/>
    <m/>
    <n v="1"/>
    <n v="1"/>
    <n v="0"/>
    <n v="0"/>
    <n v="0"/>
    <n v="0"/>
    <n v="0"/>
    <n v="0"/>
    <n v="0"/>
    <n v="1"/>
    <m/>
    <n v="0"/>
    <n v="0"/>
    <n v="0.25"/>
    <n v="0.25"/>
    <n v="0.25"/>
    <n v="0.25"/>
    <m/>
    <m/>
    <m/>
    <m/>
    <m/>
    <n v="1"/>
    <n v="515391"/>
    <n v="171652"/>
    <x v="11"/>
    <m/>
    <m/>
    <m/>
    <m/>
    <m/>
    <m/>
    <m/>
    <m/>
    <m/>
  </r>
  <r>
    <s v="19/1649/GPD15"/>
    <x v="1"/>
    <x v="1"/>
    <d v="2019-07-16T00:00:00"/>
    <d v="2022-07-16T00:00:00"/>
    <m/>
    <m/>
    <x v="2"/>
    <x v="0"/>
    <m/>
    <s v="Conversion of B1(a) office unit at rear ground floor to C3 residential to provide 1 self-contained residential flat. (Proposal description corrected)."/>
    <s v="57B York Street_x000d_Twickenham_x000d_TW1 3LP_x000d_"/>
    <s v="TW1 3LP"/>
    <m/>
    <m/>
    <m/>
    <m/>
    <m/>
    <m/>
    <m/>
    <m/>
    <n v="0"/>
    <m/>
    <n v="1"/>
    <m/>
    <m/>
    <m/>
    <m/>
    <m/>
    <m/>
    <m/>
    <n v="1"/>
    <n v="1"/>
    <n v="0"/>
    <n v="0"/>
    <n v="0"/>
    <n v="0"/>
    <n v="0"/>
    <n v="0"/>
    <n v="0"/>
    <n v="1"/>
    <m/>
    <n v="0"/>
    <n v="0"/>
    <n v="0.25"/>
    <n v="0.25"/>
    <n v="0.25"/>
    <n v="0.25"/>
    <m/>
    <m/>
    <m/>
    <m/>
    <m/>
    <n v="1"/>
    <n v="516442"/>
    <n v="173470"/>
    <x v="10"/>
    <m/>
    <s v="Twickenham"/>
    <m/>
    <m/>
    <m/>
    <m/>
    <m/>
    <s v="Conservation Area"/>
    <s v="CA8 Twickenham Riverside"/>
  </r>
  <r>
    <s v="19/1703/FUL"/>
    <x v="1"/>
    <x v="0"/>
    <d v="2019-08-12T00:00:00"/>
    <d v="2022-12-27T00:00:00"/>
    <m/>
    <m/>
    <x v="2"/>
    <x v="0"/>
    <m/>
    <s v="Internal alterations to provide accessible accommodation at the ground floor level of live/work unit. Employment use as printers/graphic design business to be retained. Partial demolition of part of ground floor extension to provide courtyard garden."/>
    <s v="216 Hampton Road_x000d_Twickenham_x000d_TW2 5NJ"/>
    <s v="TW2 5NJ"/>
    <m/>
    <m/>
    <n v="1"/>
    <m/>
    <m/>
    <m/>
    <m/>
    <m/>
    <n v="1"/>
    <m/>
    <n v="1"/>
    <m/>
    <n v="1"/>
    <m/>
    <m/>
    <m/>
    <m/>
    <m/>
    <n v="2"/>
    <n v="1"/>
    <n v="0"/>
    <n v="0"/>
    <n v="0"/>
    <n v="0"/>
    <n v="0"/>
    <n v="0"/>
    <n v="0"/>
    <n v="1"/>
    <m/>
    <n v="0"/>
    <n v="0"/>
    <n v="0.25"/>
    <n v="0.25"/>
    <n v="0.25"/>
    <n v="0.25"/>
    <m/>
    <m/>
    <m/>
    <m/>
    <m/>
    <n v="1"/>
    <n v="514733"/>
    <n v="172125"/>
    <x v="2"/>
    <m/>
    <m/>
    <m/>
    <m/>
    <m/>
    <m/>
    <m/>
    <m/>
    <m/>
  </r>
  <r>
    <s v="19/1731/FUL"/>
    <x v="0"/>
    <x v="0"/>
    <d v="2019-08-21T00:00:00"/>
    <d v="2022-08-21T00:00:00"/>
    <m/>
    <m/>
    <x v="2"/>
    <x v="0"/>
    <m/>
    <s v="Demolition of existing dwellinghouse and erection of replacement two storey 4 bedroom dwellinghouse with associated hard and soft landscaping and cycle and refuse store. Replacement boundary fence/gates."/>
    <s v="17A Tower Road_x000d_Twickenham_x000d_TW1 4PD"/>
    <s v="TW1 4PD"/>
    <m/>
    <n v="1"/>
    <m/>
    <m/>
    <m/>
    <m/>
    <m/>
    <m/>
    <n v="1"/>
    <m/>
    <m/>
    <m/>
    <m/>
    <n v="1"/>
    <m/>
    <m/>
    <m/>
    <n v="0"/>
    <n v="1"/>
    <n v="0"/>
    <n v="-1"/>
    <n v="0"/>
    <n v="1"/>
    <n v="0"/>
    <n v="0"/>
    <n v="0"/>
    <n v="0"/>
    <n v="0"/>
    <m/>
    <n v="0"/>
    <n v="0"/>
    <n v="0"/>
    <n v="0"/>
    <n v="0"/>
    <n v="0"/>
    <m/>
    <m/>
    <m/>
    <m/>
    <m/>
    <n v="0"/>
    <n v="515806"/>
    <n v="172455"/>
    <x v="5"/>
    <m/>
    <m/>
    <m/>
    <m/>
    <m/>
    <m/>
    <m/>
    <m/>
    <m/>
  </r>
  <r>
    <s v="19/1759/FUL"/>
    <x v="2"/>
    <x v="0"/>
    <d v="2019-09-09T00:00:00"/>
    <d v="2022-09-16T00:00:00"/>
    <m/>
    <m/>
    <x v="2"/>
    <x v="0"/>
    <m/>
    <s v="Single-storey rear extension, roof extensions and alterations to front and rear, extension to second floor of rear addition, elevation/fenestration alterations and new boundary treatment to allow for the change of use from 2 to 5 flats."/>
    <s v="85 Connaught Road_x000d_Teddington_x000d_TW11 0QQ_x000d_"/>
    <s v="TW11 0QQ"/>
    <m/>
    <n v="1"/>
    <n v="1"/>
    <m/>
    <m/>
    <m/>
    <m/>
    <m/>
    <n v="2"/>
    <m/>
    <n v="4"/>
    <n v="1"/>
    <m/>
    <m/>
    <m/>
    <m/>
    <m/>
    <m/>
    <n v="5"/>
    <n v="4"/>
    <n v="0"/>
    <n v="-1"/>
    <n v="0"/>
    <n v="0"/>
    <n v="0"/>
    <n v="0"/>
    <n v="0"/>
    <n v="3"/>
    <m/>
    <n v="0"/>
    <n v="0"/>
    <n v="0.75"/>
    <n v="0.75"/>
    <n v="0.75"/>
    <n v="0.75"/>
    <m/>
    <m/>
    <m/>
    <m/>
    <m/>
    <n v="3"/>
    <n v="514632"/>
    <n v="171370"/>
    <x v="11"/>
    <m/>
    <m/>
    <m/>
    <m/>
    <m/>
    <m/>
    <m/>
    <m/>
    <m/>
  </r>
  <r>
    <s v="19/1763/FUL"/>
    <x v="0"/>
    <x v="0"/>
    <d v="2019-09-23T00:00:00"/>
    <d v="2022-09-23T00:00:00"/>
    <m/>
    <m/>
    <x v="2"/>
    <x v="0"/>
    <m/>
    <s v="Demolition of existing residential garages and erection of 2x four bed semi-detached houses (Use Class C3), associated amenity space, landscaping, car and cycle parking and refuse storage."/>
    <s v="Garages At_x000d_Craneford Way_x000d_Twickenham_x000d__x000d_"/>
    <s v="TW2 7SQ"/>
    <m/>
    <m/>
    <m/>
    <m/>
    <m/>
    <m/>
    <m/>
    <m/>
    <n v="0"/>
    <m/>
    <m/>
    <m/>
    <m/>
    <n v="2"/>
    <m/>
    <m/>
    <m/>
    <m/>
    <n v="2"/>
    <n v="0"/>
    <n v="0"/>
    <n v="0"/>
    <n v="2"/>
    <n v="0"/>
    <n v="0"/>
    <n v="0"/>
    <n v="0"/>
    <n v="2"/>
    <m/>
    <n v="0"/>
    <n v="0"/>
    <n v="0.5"/>
    <n v="0.5"/>
    <n v="0.5"/>
    <n v="0.5"/>
    <m/>
    <m/>
    <m/>
    <m/>
    <m/>
    <n v="2"/>
    <n v="515377"/>
    <n v="173631"/>
    <x v="1"/>
    <m/>
    <m/>
    <m/>
    <m/>
    <m/>
    <m/>
    <m/>
    <m/>
    <m/>
  </r>
  <r>
    <s v="19/1895/FUL"/>
    <x v="4"/>
    <x v="0"/>
    <d v="2019-10-23T00:00:00"/>
    <d v="2022-10-23T00:00:00"/>
    <m/>
    <m/>
    <x v="2"/>
    <x v="0"/>
    <m/>
    <s v="Single storey rear extension to rear of shop (to create additional A1 (retail) floorspace).  Rear dormer roof extension to existing upper floor maisonette.  Provision of 2 no. parking spaces to rear."/>
    <s v="321 Richmond Road_x000d_Kingston Upon Thames_x000d_KT2 5QU"/>
    <s v="KT2 5QU"/>
    <n v="1"/>
    <m/>
    <m/>
    <m/>
    <m/>
    <m/>
    <m/>
    <m/>
    <n v="1"/>
    <m/>
    <m/>
    <n v="1"/>
    <m/>
    <m/>
    <m/>
    <m/>
    <m/>
    <m/>
    <n v="1"/>
    <n v="-1"/>
    <n v="1"/>
    <n v="0"/>
    <n v="0"/>
    <n v="0"/>
    <n v="0"/>
    <n v="0"/>
    <n v="0"/>
    <n v="0"/>
    <m/>
    <n v="0"/>
    <n v="0"/>
    <n v="0"/>
    <n v="0"/>
    <n v="0"/>
    <n v="0"/>
    <m/>
    <m/>
    <m/>
    <m/>
    <m/>
    <n v="0"/>
    <n v="517763"/>
    <n v="171588"/>
    <x v="15"/>
    <m/>
    <m/>
    <m/>
    <m/>
    <m/>
    <m/>
    <m/>
    <m/>
    <m/>
  </r>
  <r>
    <s v="19/1997/GPD23"/>
    <x v="1"/>
    <x v="1"/>
    <d v="2019-08-29T00:00:00"/>
    <d v="2022-08-29T00:00:00"/>
    <m/>
    <m/>
    <x v="2"/>
    <x v="0"/>
    <m/>
    <s v="Change of use of property from B1(c) light industrial use to C3 residential (1x2 bedroom house)"/>
    <s v="1A - 3A Holly Road_x000d_Hampton Hill_x000d_Hampton_x000d_TW12 1QF_x000d_"/>
    <s v="TW12 1QF"/>
    <m/>
    <m/>
    <m/>
    <m/>
    <m/>
    <m/>
    <m/>
    <m/>
    <n v="0"/>
    <m/>
    <m/>
    <n v="1"/>
    <m/>
    <m/>
    <m/>
    <m/>
    <m/>
    <m/>
    <n v="1"/>
    <n v="0"/>
    <n v="1"/>
    <n v="0"/>
    <n v="0"/>
    <n v="0"/>
    <n v="0"/>
    <n v="0"/>
    <n v="0"/>
    <n v="1"/>
    <m/>
    <n v="0"/>
    <n v="0"/>
    <n v="0.25"/>
    <n v="0.25"/>
    <n v="0.25"/>
    <n v="0.25"/>
    <m/>
    <m/>
    <m/>
    <m/>
    <m/>
    <n v="1"/>
    <n v="514191"/>
    <n v="170734"/>
    <x v="11"/>
    <m/>
    <m/>
    <m/>
    <s v="Mixed Use Area"/>
    <s v="High Street"/>
    <m/>
    <m/>
    <m/>
    <m/>
  </r>
  <r>
    <s v="19/2102/FUL"/>
    <x v="4"/>
    <x v="0"/>
    <d v="2019-08-21T00:00:00"/>
    <d v="2022-08-27T00:00:00"/>
    <m/>
    <m/>
    <x v="2"/>
    <x v="0"/>
    <m/>
    <s v="Rear extension at second floor level to form a new studio flat."/>
    <s v="Tabard House_x000d_22 Upper Teddington Road_x000d_Hampton Wick_x000d_KT1 4DT_x000d_"/>
    <s v="KT1 4DT"/>
    <m/>
    <m/>
    <m/>
    <m/>
    <m/>
    <m/>
    <m/>
    <m/>
    <n v="0"/>
    <m/>
    <n v="1"/>
    <m/>
    <m/>
    <m/>
    <m/>
    <m/>
    <m/>
    <m/>
    <n v="1"/>
    <n v="1"/>
    <n v="0"/>
    <n v="0"/>
    <n v="0"/>
    <n v="0"/>
    <n v="0"/>
    <n v="0"/>
    <n v="0"/>
    <n v="1"/>
    <m/>
    <n v="0"/>
    <n v="0"/>
    <n v="0.25"/>
    <n v="0.25"/>
    <n v="0.25"/>
    <n v="0.25"/>
    <m/>
    <m/>
    <m/>
    <m/>
    <m/>
    <n v="1"/>
    <n v="517355"/>
    <n v="169968"/>
    <x v="3"/>
    <m/>
    <m/>
    <m/>
    <m/>
    <m/>
    <m/>
    <m/>
    <m/>
    <m/>
  </r>
  <r>
    <s v="19/2273/FUL"/>
    <x v="1"/>
    <x v="0"/>
    <d v="2019-12-23T00:00:00"/>
    <d v="2022-12-23T00:00:00"/>
    <m/>
    <m/>
    <x v="2"/>
    <x v="0"/>
    <m/>
    <s v="Removal of static caravan.  Conversion of the ground floor area to left of barn entrance into a self-contained residence ancillary to the stables.  New toilet facility with disabled provision within stables."/>
    <s v="Old Farm Stables Flat_x000d_Oak Avenue_x000d_Hampton_x000d_TW12 3QD_x000d_"/>
    <s v="TW12 3QD"/>
    <m/>
    <m/>
    <m/>
    <m/>
    <m/>
    <m/>
    <m/>
    <m/>
    <n v="0"/>
    <m/>
    <m/>
    <n v="1"/>
    <m/>
    <m/>
    <m/>
    <m/>
    <m/>
    <m/>
    <n v="1"/>
    <n v="0"/>
    <n v="1"/>
    <n v="0"/>
    <n v="0"/>
    <n v="0"/>
    <n v="0"/>
    <n v="0"/>
    <n v="0"/>
    <n v="1"/>
    <m/>
    <n v="0"/>
    <n v="0"/>
    <n v="0.25"/>
    <n v="0.25"/>
    <n v="0.25"/>
    <n v="0.25"/>
    <m/>
    <m/>
    <m/>
    <m/>
    <m/>
    <n v="1"/>
    <n v="512318"/>
    <n v="171284"/>
    <x v="16"/>
    <m/>
    <m/>
    <m/>
    <m/>
    <m/>
    <s v="Y"/>
    <m/>
    <m/>
    <m/>
  </r>
  <r>
    <s v="19/2300/FUL"/>
    <x v="0"/>
    <x v="0"/>
    <d v="2019-09-23T00:00:00"/>
    <d v="2022-09-23T00:00:00"/>
    <m/>
    <m/>
    <x v="2"/>
    <x v="0"/>
    <m/>
    <s v="Part change of use of ground floor from A3 to C3 (Residential) and alterations to existing shopfront to create new access door to facilitate the conversion of existing 2 x 3 bed maisonettes into 7 No. self-contained Studio and 1 bed Flats.  Single Storey"/>
    <s v="102 - 104 Kew Road_x000d_Richmond_x000d_TW9 2PQ_x000d_"/>
    <s v="TW9 2PQ"/>
    <m/>
    <m/>
    <n v="0"/>
    <m/>
    <m/>
    <m/>
    <m/>
    <m/>
    <n v="0"/>
    <m/>
    <n v="7"/>
    <m/>
    <m/>
    <m/>
    <m/>
    <m/>
    <m/>
    <m/>
    <n v="7"/>
    <n v="7"/>
    <n v="0"/>
    <n v="0"/>
    <n v="0"/>
    <n v="0"/>
    <n v="0"/>
    <n v="0"/>
    <n v="0"/>
    <n v="7"/>
    <m/>
    <n v="0"/>
    <n v="0"/>
    <n v="1.75"/>
    <n v="1.75"/>
    <n v="1.75"/>
    <n v="1.75"/>
    <m/>
    <m/>
    <m/>
    <m/>
    <m/>
    <n v="7"/>
    <n v="518353"/>
    <n v="175510"/>
    <x v="12"/>
    <m/>
    <m/>
    <m/>
    <s v="Mixed Use Area"/>
    <s v="Kew Road"/>
    <m/>
    <m/>
    <s v="Conservation Area"/>
    <s v="CA36 Kew Foot Road"/>
  </r>
  <r>
    <s v="19/2788/FUL"/>
    <x v="4"/>
    <x v="0"/>
    <d v="2020-01-31T00:00:00"/>
    <d v="2023-02-03T00:00:00"/>
    <m/>
    <m/>
    <x v="2"/>
    <x v="0"/>
    <m/>
    <s v="Roof extension to provide additional residential accommodation to Number 5 South Avenue and creation of 1 no. self-contained 1 bedroom flat above no. 2 and provision of associated cycle parking."/>
    <s v="2A And 5_x000d_South Avenue_x000d_Kew_x000d__x000d_"/>
    <s v="TW9 3EL"/>
    <m/>
    <m/>
    <m/>
    <m/>
    <m/>
    <m/>
    <m/>
    <m/>
    <n v="0"/>
    <m/>
    <n v="1"/>
    <m/>
    <m/>
    <m/>
    <m/>
    <m/>
    <m/>
    <m/>
    <n v="1"/>
    <n v="1"/>
    <n v="0"/>
    <n v="0"/>
    <n v="0"/>
    <n v="0"/>
    <n v="0"/>
    <n v="0"/>
    <n v="0"/>
    <n v="1"/>
    <m/>
    <n v="0"/>
    <n v="0"/>
    <n v="0.25"/>
    <n v="0.25"/>
    <n v="0.25"/>
    <n v="0.25"/>
    <m/>
    <m/>
    <m/>
    <m/>
    <m/>
    <n v="1"/>
    <n v="519131"/>
    <n v="176452"/>
    <x v="9"/>
    <m/>
    <m/>
    <m/>
    <s v="Mixed Use Area"/>
    <s v="Sandycombe Road North"/>
    <m/>
    <m/>
    <m/>
    <m/>
  </r>
  <r>
    <s v="19/2796/GPD15"/>
    <x v="1"/>
    <x v="1"/>
    <d v="2019-11-05T00:00:00"/>
    <d v="2022-07-05T00:00:00"/>
    <m/>
    <m/>
    <x v="2"/>
    <x v="0"/>
    <m/>
    <s v="Change of use of the ground and basement from B1(a) office use, to Class C3 (dwellinghouse) as a single self-contained 3 bedroom flat."/>
    <s v="115 White Hart Lane_x000d_Barnes_x000d_London_x000d_SW13 0JL_x000d_"/>
    <s v="SW13 0JL"/>
    <m/>
    <m/>
    <m/>
    <m/>
    <m/>
    <m/>
    <m/>
    <m/>
    <n v="0"/>
    <m/>
    <m/>
    <m/>
    <n v="1"/>
    <m/>
    <m/>
    <m/>
    <m/>
    <m/>
    <n v="1"/>
    <n v="0"/>
    <n v="0"/>
    <n v="1"/>
    <n v="0"/>
    <n v="0"/>
    <n v="0"/>
    <n v="0"/>
    <n v="0"/>
    <n v="1"/>
    <m/>
    <n v="0"/>
    <n v="0"/>
    <n v="0.25"/>
    <n v="0.25"/>
    <n v="0.25"/>
    <n v="0.25"/>
    <m/>
    <m/>
    <m/>
    <m/>
    <m/>
    <n v="1"/>
    <n v="521408"/>
    <n v="175714"/>
    <x v="6"/>
    <m/>
    <m/>
    <m/>
    <m/>
    <m/>
    <m/>
    <m/>
    <s v="Conservation Area"/>
    <s v="CA53 White Hart Lane Mortlake"/>
  </r>
  <r>
    <s v="19/3025/FUL"/>
    <x v="1"/>
    <x v="0"/>
    <d v="2020-01-29T00:00:00"/>
    <d v="2023-01-29T00:00:00"/>
    <m/>
    <m/>
    <x v="2"/>
    <x v="0"/>
    <m/>
    <s v="Change of use of all units from Class C3 (residential) to flexible uses Class C1 (serviced accommodation) and Class C3 (residential)."/>
    <s v="Jasmine Studios _x000d_8 Oak Lane_x000d_Twickenham_x000d_TW1 3PA"/>
    <s v="TW1 3PA"/>
    <n v="1"/>
    <n v="4"/>
    <m/>
    <m/>
    <m/>
    <m/>
    <m/>
    <m/>
    <n v="5"/>
    <m/>
    <n v="1"/>
    <n v="4"/>
    <m/>
    <m/>
    <m/>
    <m/>
    <m/>
    <m/>
    <n v="5"/>
    <n v="0"/>
    <n v="0"/>
    <n v="0"/>
    <n v="0"/>
    <n v="0"/>
    <n v="0"/>
    <n v="0"/>
    <n v="0"/>
    <n v="0"/>
    <m/>
    <n v="0"/>
    <n v="0"/>
    <n v="0"/>
    <n v="0"/>
    <n v="0"/>
    <n v="0"/>
    <m/>
    <m/>
    <m/>
    <m/>
    <m/>
    <n v="0"/>
    <n v="516497"/>
    <n v="173537"/>
    <x v="10"/>
    <m/>
    <s v="Twickenham"/>
    <m/>
    <m/>
    <m/>
    <m/>
    <m/>
    <m/>
    <m/>
  </r>
  <r>
    <s v="19/3101/GPD23"/>
    <x v="1"/>
    <x v="1"/>
    <d v="2019-11-18T00:00:00"/>
    <d v="2022-11-18T00:00:00"/>
    <m/>
    <m/>
    <x v="2"/>
    <x v="0"/>
    <m/>
    <s v="Change of Use of existing B1(c) light industrial unit to residential C3 providing 1No. 2 Bed dwelling."/>
    <s v="Unit 4_x000d_Princes Works_x000d_Princes Road_x000d_Teddington_x000d_TW11 0RW_x000d_"/>
    <s v="TW11 0RW"/>
    <m/>
    <m/>
    <m/>
    <m/>
    <m/>
    <m/>
    <m/>
    <m/>
    <n v="0"/>
    <m/>
    <m/>
    <n v="1"/>
    <m/>
    <m/>
    <m/>
    <m/>
    <m/>
    <m/>
    <n v="1"/>
    <n v="0"/>
    <n v="1"/>
    <n v="0"/>
    <n v="0"/>
    <n v="0"/>
    <n v="0"/>
    <n v="0"/>
    <n v="0"/>
    <n v="1"/>
    <m/>
    <n v="0"/>
    <n v="0"/>
    <n v="0.25"/>
    <n v="0.25"/>
    <n v="0.25"/>
    <n v="0.25"/>
    <m/>
    <m/>
    <m/>
    <m/>
    <m/>
    <n v="1"/>
    <n v="515035"/>
    <n v="171569"/>
    <x v="11"/>
    <m/>
    <m/>
    <m/>
    <s v="Mixed Use Area"/>
    <s v="Stanley Road"/>
    <m/>
    <m/>
    <m/>
    <m/>
  </r>
  <r>
    <s v="19/3419/FUL"/>
    <x v="0"/>
    <x v="0"/>
    <d v="2020-03-11T00:00:00"/>
    <d v="2023-03-11T00:00:00"/>
    <m/>
    <m/>
    <x v="2"/>
    <x v="0"/>
    <m/>
    <s v="Demolition of existing dwellinghouse and erection of detached two storey dwellinghouse, associated hard and soft landscaping"/>
    <s v="8 Sandy Lane_x000d_Petersham_x000d_Richmond_x000d_TW10 7EN_x000d_"/>
    <s v="TW10 7EN"/>
    <m/>
    <m/>
    <m/>
    <n v="1"/>
    <m/>
    <m/>
    <m/>
    <m/>
    <n v="1"/>
    <m/>
    <m/>
    <m/>
    <m/>
    <m/>
    <n v="1"/>
    <m/>
    <m/>
    <m/>
    <n v="1"/>
    <n v="0"/>
    <n v="0"/>
    <n v="0"/>
    <n v="-1"/>
    <n v="1"/>
    <n v="0"/>
    <n v="0"/>
    <n v="0"/>
    <n v="0"/>
    <m/>
    <n v="0"/>
    <n v="0"/>
    <n v="0"/>
    <n v="0"/>
    <n v="0"/>
    <n v="0"/>
    <m/>
    <m/>
    <m/>
    <m/>
    <m/>
    <n v="0"/>
    <n v="517948"/>
    <n v="172696"/>
    <x v="15"/>
    <m/>
    <m/>
    <m/>
    <m/>
    <m/>
    <m/>
    <m/>
    <m/>
    <m/>
  </r>
  <r>
    <s v="20/0136/FUL"/>
    <x v="0"/>
    <x v="0"/>
    <d v="2020-03-26T00:00:00"/>
    <d v="2021-12-21T00:00:00"/>
    <m/>
    <m/>
    <x v="2"/>
    <x v="0"/>
    <m/>
    <s v="Demolition of the existing house and reconstruction of replacement 2 storey with basement and accommodation in the roof single family home and associated parking, hard and soft landscaping."/>
    <s v="2 Belgrave Road_x000d_Barnes_x000d_London_x000d_SW13 9NS"/>
    <s v="SW13 9NS"/>
    <m/>
    <m/>
    <n v="1"/>
    <m/>
    <m/>
    <m/>
    <m/>
    <m/>
    <n v="1"/>
    <m/>
    <m/>
    <m/>
    <m/>
    <n v="1"/>
    <m/>
    <m/>
    <m/>
    <m/>
    <n v="1"/>
    <n v="0"/>
    <n v="0"/>
    <n v="-1"/>
    <n v="1"/>
    <n v="0"/>
    <n v="0"/>
    <n v="0"/>
    <n v="0"/>
    <n v="0"/>
    <m/>
    <n v="0"/>
    <n v="0"/>
    <n v="0"/>
    <n v="0"/>
    <n v="0"/>
    <n v="0"/>
    <m/>
    <m/>
    <m/>
    <m/>
    <m/>
    <n v="0"/>
    <n v="521893"/>
    <n v="177129"/>
    <x v="17"/>
    <m/>
    <m/>
    <m/>
    <m/>
    <m/>
    <m/>
    <m/>
    <m/>
    <m/>
  </r>
  <r>
    <s v="20/0373/PS192"/>
    <x v="1"/>
    <x v="1"/>
    <d v="2020-02-17T00:00:00"/>
    <d v="2020-02-18T00:00:00"/>
    <m/>
    <m/>
    <x v="2"/>
    <x v="0"/>
    <m/>
    <s v="Change of use of part ground and upper floors from A2 (Financial Services) use class into C3 (Residential)."/>
    <s v="347 Upper Richmond Road West_x000d_East Sheen_x000d_London_x000d_SW14 8RH"/>
    <s v="SW14 8RH"/>
    <m/>
    <m/>
    <m/>
    <m/>
    <m/>
    <m/>
    <m/>
    <m/>
    <n v="0"/>
    <m/>
    <m/>
    <n v="2"/>
    <m/>
    <m/>
    <m/>
    <m/>
    <m/>
    <m/>
    <n v="2"/>
    <n v="0"/>
    <n v="2"/>
    <n v="0"/>
    <n v="0"/>
    <n v="0"/>
    <n v="0"/>
    <n v="0"/>
    <n v="0"/>
    <n v="2"/>
    <m/>
    <n v="0"/>
    <n v="0"/>
    <n v="0.5"/>
    <n v="0.5"/>
    <n v="0.5"/>
    <n v="0.5"/>
    <m/>
    <m/>
    <m/>
    <m/>
    <m/>
    <n v="2"/>
    <n v="520577"/>
    <n v="175397"/>
    <x v="7"/>
    <m/>
    <s v="East Sheen"/>
    <m/>
    <m/>
    <m/>
    <m/>
    <m/>
    <m/>
    <m/>
  </r>
  <r>
    <s v="Site Allocation"/>
    <x v="0"/>
    <x v="0"/>
    <m/>
    <m/>
    <m/>
    <m/>
    <x v="3"/>
    <x v="4"/>
    <m/>
    <m/>
    <s v="Sainsbury’s, Manor Road/Lower Richmond Road"/>
    <m/>
    <m/>
    <m/>
    <m/>
    <m/>
    <m/>
    <m/>
    <m/>
    <m/>
    <m/>
    <m/>
    <m/>
    <m/>
    <m/>
    <m/>
    <m/>
    <m/>
    <m/>
    <m/>
    <m/>
    <m/>
    <m/>
    <m/>
    <m/>
    <m/>
    <m/>
    <m/>
    <m/>
    <n v="0"/>
    <m/>
    <n v="0"/>
    <n v="0"/>
    <n v="0"/>
    <n v="0"/>
    <n v="0"/>
    <n v="0"/>
    <n v="50"/>
    <n v="50"/>
    <n v="50"/>
    <n v="50"/>
    <n v="50"/>
    <n v="250"/>
    <n v="519119"/>
    <n v="175570"/>
    <x v="15"/>
    <m/>
    <m/>
    <m/>
    <m/>
    <m/>
    <m/>
    <m/>
    <m/>
    <m/>
  </r>
  <r>
    <s v="Site Allocation"/>
    <x v="0"/>
    <x v="0"/>
    <m/>
    <m/>
    <m/>
    <m/>
    <x v="3"/>
    <x v="4"/>
    <m/>
    <m/>
    <s v="Ham Central"/>
    <m/>
    <m/>
    <m/>
    <m/>
    <m/>
    <m/>
    <m/>
    <m/>
    <m/>
    <m/>
    <m/>
    <m/>
    <m/>
    <m/>
    <m/>
    <m/>
    <m/>
    <m/>
    <m/>
    <m/>
    <m/>
    <m/>
    <m/>
    <m/>
    <m/>
    <m/>
    <m/>
    <m/>
    <n v="0"/>
    <m/>
    <n v="0"/>
    <n v="0"/>
    <n v="0"/>
    <n v="0"/>
    <n v="0"/>
    <n v="0"/>
    <n v="50"/>
    <n v="50"/>
    <n v="50"/>
    <n v="50"/>
    <n v="50"/>
    <n v="250"/>
    <n v="517177"/>
    <n v="172352"/>
    <x v="15"/>
    <m/>
    <m/>
    <m/>
    <m/>
    <m/>
    <m/>
    <m/>
    <m/>
    <m/>
  </r>
  <r>
    <s v="Site Allocation"/>
    <x v="0"/>
    <x v="0"/>
    <m/>
    <m/>
    <m/>
    <m/>
    <x v="3"/>
    <x v="4"/>
    <m/>
    <m/>
    <s v="Mereway Day Centre"/>
    <m/>
    <m/>
    <m/>
    <m/>
    <m/>
    <m/>
    <m/>
    <m/>
    <m/>
    <m/>
    <m/>
    <m/>
    <m/>
    <m/>
    <m/>
    <m/>
    <m/>
    <m/>
    <m/>
    <m/>
    <m/>
    <m/>
    <m/>
    <m/>
    <m/>
    <m/>
    <m/>
    <m/>
    <n v="0"/>
    <m/>
    <n v="0"/>
    <n v="0"/>
    <n v="0"/>
    <n v="0"/>
    <n v="0"/>
    <n v="0"/>
    <n v="20"/>
    <n v="20"/>
    <n v="0"/>
    <n v="0"/>
    <n v="0"/>
    <n v="40"/>
    <n v="515033"/>
    <n v="173287"/>
    <x v="5"/>
    <m/>
    <m/>
    <m/>
    <m/>
    <m/>
    <m/>
    <m/>
    <m/>
    <m/>
  </r>
  <r>
    <s v="Site Allocation"/>
    <x v="0"/>
    <x v="0"/>
    <m/>
    <m/>
    <m/>
    <m/>
    <x v="3"/>
    <x v="4"/>
    <m/>
    <m/>
    <s v="Telephone Exchange, 88 High Street, Teddington, TW1 18JD"/>
    <m/>
    <m/>
    <m/>
    <m/>
    <m/>
    <m/>
    <m/>
    <m/>
    <m/>
    <m/>
    <m/>
    <m/>
    <m/>
    <m/>
    <m/>
    <m/>
    <m/>
    <m/>
    <m/>
    <m/>
    <m/>
    <m/>
    <m/>
    <m/>
    <m/>
    <m/>
    <m/>
    <m/>
    <n v="0"/>
    <m/>
    <n v="0"/>
    <n v="0"/>
    <n v="0"/>
    <n v="0"/>
    <n v="0"/>
    <n v="0"/>
    <n v="0"/>
    <n v="5"/>
    <n v="5"/>
    <n v="5"/>
    <n v="5"/>
    <n v="20"/>
    <n v="516258"/>
    <n v="171100"/>
    <x v="0"/>
    <m/>
    <m/>
    <m/>
    <m/>
    <m/>
    <m/>
    <m/>
    <m/>
    <m/>
  </r>
  <r>
    <s v="Site Allocation"/>
    <x v="0"/>
    <x v="0"/>
    <m/>
    <m/>
    <m/>
    <m/>
    <x v="3"/>
    <x v="4"/>
    <m/>
    <m/>
    <s v="Telephone Exchange, Ashdale Close, Whitton, TW1 7BE"/>
    <m/>
    <m/>
    <m/>
    <m/>
    <m/>
    <m/>
    <m/>
    <m/>
    <m/>
    <m/>
    <m/>
    <m/>
    <m/>
    <m/>
    <m/>
    <m/>
    <m/>
    <m/>
    <m/>
    <m/>
    <m/>
    <m/>
    <m/>
    <m/>
    <m/>
    <m/>
    <m/>
    <m/>
    <n v="0"/>
    <m/>
    <n v="0"/>
    <n v="0"/>
    <n v="0"/>
    <n v="0"/>
    <n v="0"/>
    <n v="0"/>
    <n v="0"/>
    <n v="5"/>
    <n v="5"/>
    <n v="5"/>
    <n v="5"/>
    <n v="20"/>
    <n v="514055"/>
    <n v="173847"/>
    <x v="13"/>
    <m/>
    <m/>
    <m/>
    <m/>
    <m/>
    <m/>
    <m/>
    <m/>
    <m/>
  </r>
  <r>
    <s v="Site Allocation"/>
    <x v="0"/>
    <x v="0"/>
    <m/>
    <m/>
    <m/>
    <m/>
    <x v="3"/>
    <x v="4"/>
    <m/>
    <m/>
    <s v="Telephone Exchange, Garfield Road, Twickenham"/>
    <m/>
    <m/>
    <m/>
    <m/>
    <m/>
    <m/>
    <m/>
    <m/>
    <m/>
    <m/>
    <m/>
    <m/>
    <m/>
    <m/>
    <m/>
    <m/>
    <m/>
    <m/>
    <m/>
    <m/>
    <m/>
    <m/>
    <m/>
    <m/>
    <m/>
    <m/>
    <m/>
    <m/>
    <n v="0"/>
    <m/>
    <n v="0"/>
    <n v="0"/>
    <n v="0"/>
    <n v="0"/>
    <n v="0"/>
    <n v="0"/>
    <n v="0"/>
    <n v="5"/>
    <n v="5"/>
    <n v="5"/>
    <n v="5"/>
    <n v="20"/>
    <n v="516325"/>
    <n v="173426"/>
    <x v="10"/>
    <m/>
    <m/>
    <m/>
    <m/>
    <m/>
    <m/>
    <m/>
    <m/>
    <m/>
  </r>
  <r>
    <s v="18/0547/FUL"/>
    <x v="3"/>
    <x v="0"/>
    <m/>
    <m/>
    <m/>
    <m/>
    <x v="4"/>
    <x v="4"/>
    <s v="Stag Brewery"/>
    <m/>
    <s v="The Stag Brewery Lower Richmond Road Mortlake London SW14 7ET"/>
    <m/>
    <m/>
    <m/>
    <m/>
    <m/>
    <m/>
    <m/>
    <m/>
    <m/>
    <m/>
    <m/>
    <m/>
    <m/>
    <m/>
    <m/>
    <m/>
    <m/>
    <m/>
    <m/>
    <m/>
    <m/>
    <m/>
    <m/>
    <m/>
    <m/>
    <m/>
    <m/>
    <m/>
    <n v="300"/>
    <m/>
    <n v="0"/>
    <n v="0"/>
    <n v="0"/>
    <n v="0"/>
    <n v="150"/>
    <n v="150"/>
    <n v="80"/>
    <n v="80"/>
    <n v="80"/>
    <n v="80"/>
    <n v="80"/>
    <n v="700"/>
    <n v="520502"/>
    <n v="175950"/>
    <x v="6"/>
    <m/>
    <m/>
    <m/>
    <s v="Mixed Use Area"/>
    <s v="Mortlake"/>
    <m/>
    <m/>
    <s v="Conservation Area"/>
    <s v="CA33 Mortlake"/>
  </r>
  <r>
    <s v="18/3310/FUL"/>
    <x v="0"/>
    <x v="0"/>
    <d v="2020-09-16T00:00:00"/>
    <m/>
    <m/>
    <m/>
    <x v="4"/>
    <x v="4"/>
    <s v="Kew Biothane Plant"/>
    <m/>
    <s v="Kew Biothane Plant, Melliss Avenue, Kew_x000a_"/>
    <m/>
    <m/>
    <m/>
    <m/>
    <m/>
    <m/>
    <m/>
    <m/>
    <m/>
    <m/>
    <m/>
    <m/>
    <m/>
    <m/>
    <m/>
    <m/>
    <m/>
    <m/>
    <m/>
    <m/>
    <m/>
    <m/>
    <m/>
    <m/>
    <m/>
    <m/>
    <m/>
    <m/>
    <n v="90"/>
    <m/>
    <n v="0"/>
    <n v="0"/>
    <n v="0"/>
    <n v="0"/>
    <n v="45"/>
    <n v="45"/>
    <m/>
    <m/>
    <m/>
    <m/>
    <m/>
    <n v="90"/>
    <n v="519778"/>
    <n v="176914"/>
    <x v="9"/>
    <m/>
    <m/>
    <s v="Thames Policy Area"/>
    <m/>
    <m/>
    <m/>
    <s v="Townmead Kew"/>
    <m/>
    <m/>
  </r>
  <r>
    <s v="18/3642/OUT"/>
    <x v="0"/>
    <x v="0"/>
    <d v="2020-09-14T00:00:00"/>
    <d v="2023-09-14T00:00:00"/>
    <m/>
    <m/>
    <x v="4"/>
    <x v="4"/>
    <s v="Barnes Hospital"/>
    <s v="Outline planning permission for the demolition and comprehensive redevelopment (phased development) of land at Barnes Hospital to provide a mixed use development comprising a health centre (Use Class D1), a Special Educational Needs (SEN) School (Use Class D1), up to 80 new build residential units (Use class C3), the conversion of two of the retained BTMs for use for up 3no. residential units (Use Class C3), the conversion of one BTM for medical use (Use Class D1), car parking, landscaping and associated works. All matters reserved save for the full details submitted in relation to access points at the site boundaries."/>
    <s v="Barnes Hospital, South Worple Way, East Sheen, SW14 8SU"/>
    <m/>
    <m/>
    <m/>
    <m/>
    <m/>
    <m/>
    <m/>
    <m/>
    <m/>
    <m/>
    <m/>
    <m/>
    <m/>
    <m/>
    <m/>
    <m/>
    <m/>
    <m/>
    <m/>
    <m/>
    <m/>
    <m/>
    <m/>
    <m/>
    <m/>
    <m/>
    <m/>
    <m/>
    <n v="83"/>
    <m/>
    <n v="0"/>
    <n v="0"/>
    <n v="0"/>
    <n v="0"/>
    <n v="41.5"/>
    <n v="41.5"/>
    <m/>
    <m/>
    <m/>
    <m/>
    <m/>
    <n v="83"/>
    <n v="521203"/>
    <n v="175677"/>
    <x v="6"/>
    <m/>
    <m/>
    <m/>
    <m/>
    <m/>
    <m/>
    <m/>
    <m/>
    <m/>
  </r>
  <r>
    <s v="19/0510/FUL"/>
    <x v="0"/>
    <x v="0"/>
    <m/>
    <m/>
    <m/>
    <m/>
    <x v="4"/>
    <x v="4"/>
    <s v="Homebase Manor Road Richmond"/>
    <s v="Demolition of existing buildings and structures and comprehensive residential-led redevelopment of a single storey pavilion, basements and four buildings of between four and nine storeys to provide 385 residential units (Class C3), flexible retail /community / office uses (Classes A1, A2, A3, D2, B1), provision of car parking spaces and cycle storage facilities, landscaping, public and private open spaces and all other necessary enabling works."/>
    <s v="Homebase 84 Manor Road Richmond TW9 1YB"/>
    <m/>
    <m/>
    <m/>
    <m/>
    <m/>
    <m/>
    <m/>
    <m/>
    <m/>
    <m/>
    <m/>
    <m/>
    <m/>
    <m/>
    <m/>
    <m/>
    <m/>
    <m/>
    <m/>
    <m/>
    <m/>
    <m/>
    <m/>
    <m/>
    <m/>
    <m/>
    <m/>
    <m/>
    <n v="80"/>
    <m/>
    <n v="0"/>
    <n v="0"/>
    <n v="0"/>
    <n v="0"/>
    <n v="0"/>
    <n v="80"/>
    <m/>
    <m/>
    <m/>
    <m/>
    <m/>
    <n v="80"/>
    <n v="518920"/>
    <n v="175418"/>
    <x v="12"/>
    <m/>
    <m/>
    <m/>
    <m/>
    <m/>
    <m/>
    <m/>
    <m/>
    <m/>
  </r>
  <r>
    <s v="19/3616/FUL "/>
    <x v="0"/>
    <x v="0"/>
    <m/>
    <m/>
    <m/>
    <m/>
    <x v="4"/>
    <x v="4"/>
    <s v="Old Station Forecourt"/>
    <s v="Proposed redevelopment of existing car park to provide a new building of 5 to 6 storeys, comprising 46 no. residential units (Use Class C3), disabled car parking, cycle parking, landscaping, enhancements to public realm and associated works"/>
    <s v="Old Station Forecourt, Railway Approach, Twickenham, TW1 4LJ"/>
    <m/>
    <m/>
    <m/>
    <m/>
    <m/>
    <m/>
    <m/>
    <m/>
    <m/>
    <m/>
    <m/>
    <m/>
    <m/>
    <m/>
    <m/>
    <m/>
    <m/>
    <m/>
    <m/>
    <m/>
    <m/>
    <m/>
    <m/>
    <m/>
    <m/>
    <m/>
    <m/>
    <m/>
    <n v="46"/>
    <m/>
    <n v="0"/>
    <n v="0"/>
    <n v="0"/>
    <n v="0"/>
    <n v="23"/>
    <n v="23"/>
    <m/>
    <m/>
    <m/>
    <m/>
    <m/>
    <n v="46"/>
    <n v="516060"/>
    <n v="173599"/>
    <x v="10"/>
    <m/>
    <s v="Twickenham"/>
    <m/>
    <m/>
    <m/>
    <m/>
    <m/>
    <m/>
    <m/>
  </r>
  <r>
    <s v="20/0539/FUL"/>
    <x v="0"/>
    <x v="0"/>
    <d v="2020-10-07T00:00:00"/>
    <m/>
    <m/>
    <m/>
    <x v="4"/>
    <x v="5"/>
    <s v="The Strathmore Centre"/>
    <s v="Demolition of all existing buildings; erection of two 3-storey buildings comprising 30 residential dwellings in total (6 x1 bedroom, 17 x 2 bedroom &amp; 7 x 3 bedroom); erection of single storey nursery building (294 sqm in total) alterations to existing access road and formation of 36 no. car parking spaces at grade; landscaping including communal amenity space and ecological enhancement area; secure cycle and refuse storage structures."/>
    <s v="The Strathmore Centre Strathmore Road Teddington TW11 8UH"/>
    <m/>
    <m/>
    <m/>
    <m/>
    <m/>
    <m/>
    <m/>
    <m/>
    <m/>
    <m/>
    <m/>
    <m/>
    <m/>
    <m/>
    <m/>
    <m/>
    <m/>
    <m/>
    <m/>
    <m/>
    <m/>
    <m/>
    <m/>
    <m/>
    <m/>
    <m/>
    <m/>
    <m/>
    <n v="20"/>
    <m/>
    <n v="0"/>
    <n v="0"/>
    <n v="0"/>
    <n v="0"/>
    <n v="10"/>
    <n v="10"/>
    <m/>
    <m/>
    <m/>
    <m/>
    <m/>
    <n v="20"/>
    <n v="515141"/>
    <n v="171791"/>
    <x v="11"/>
    <m/>
    <m/>
    <m/>
    <m/>
    <m/>
    <m/>
    <m/>
    <m/>
    <m/>
  </r>
  <r>
    <s v="Site Allocation"/>
    <x v="3"/>
    <x v="0"/>
    <m/>
    <m/>
    <m/>
    <m/>
    <x v="4"/>
    <x v="4"/>
    <s v="Kneller Hall"/>
    <m/>
    <s v="Kneller Hall Royal Military School Of Music Kneller Road Twickenham"/>
    <m/>
    <m/>
    <m/>
    <m/>
    <m/>
    <m/>
    <m/>
    <m/>
    <m/>
    <m/>
    <m/>
    <m/>
    <m/>
    <m/>
    <m/>
    <m/>
    <m/>
    <m/>
    <m/>
    <m/>
    <m/>
    <m/>
    <m/>
    <m/>
    <m/>
    <m/>
    <m/>
    <m/>
    <n v="20"/>
    <m/>
    <n v="0"/>
    <n v="0"/>
    <n v="0"/>
    <n v="0"/>
    <n v="0"/>
    <n v="20"/>
    <n v="10"/>
    <n v="0"/>
    <n v="0"/>
    <n v="0"/>
    <n v="0"/>
    <n v="30"/>
    <n v="514682"/>
    <n v="174192"/>
    <x v="13"/>
    <m/>
    <m/>
    <m/>
    <m/>
    <m/>
    <m/>
    <m/>
    <m/>
    <m/>
  </r>
  <r>
    <s v="Small Sites Trend"/>
    <x v="3"/>
    <x v="0"/>
    <m/>
    <m/>
    <m/>
    <m/>
    <x v="4"/>
    <x v="4"/>
    <s v="Small Sites Trend"/>
    <s v="Small Sites Trend"/>
    <s v="Small Sites Trend"/>
    <m/>
    <m/>
    <m/>
    <m/>
    <m/>
    <m/>
    <m/>
    <m/>
    <m/>
    <m/>
    <m/>
    <m/>
    <m/>
    <m/>
    <m/>
    <m/>
    <m/>
    <m/>
    <m/>
    <m/>
    <n v="0"/>
    <n v="0"/>
    <n v="0"/>
    <n v="0"/>
    <n v="0"/>
    <n v="0"/>
    <n v="0"/>
    <n v="0"/>
    <n v="742"/>
    <m/>
    <n v="0"/>
    <n v="20"/>
    <n v="20"/>
    <n v="234"/>
    <n v="234"/>
    <n v="234"/>
    <n v="234"/>
    <n v="234"/>
    <n v="234"/>
    <n v="234"/>
    <n v="234"/>
    <n v="1912"/>
    <m/>
    <m/>
    <x v="18"/>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2264333-8931-44A5-B64D-28ABE9EA28C1}" name="PivotTable73"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82:B18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27">
      <pivotArea type="all" dataOnly="0" outline="0" fieldPosition="0"/>
    </format>
    <format dxfId="26">
      <pivotArea type="all" dataOnly="0" outline="0" fieldPosition="0"/>
    </format>
    <format dxfId="25">
      <pivotArea type="all" dataOnly="0" outline="0" fieldPosition="0"/>
    </format>
    <format dxfId="24">
      <pivotArea type="all" dataOnly="0" outline="0" fieldPosition="0"/>
    </format>
    <format dxfId="23">
      <pivotArea type="all" dataOnly="0" outline="0" fieldPosition="0"/>
    </format>
    <format dxfId="22">
      <pivotArea type="all" dataOnly="0" outline="0" fieldPosition="0"/>
    </format>
    <format dxfId="21">
      <pivotArea type="all" dataOnly="0" outline="0" fieldPosition="0"/>
    </format>
    <format dxfId="20">
      <pivotArea type="all" dataOnly="0" outline="0" fieldPosition="0"/>
    </format>
    <format dxfId="19">
      <pivotArea type="all" dataOnly="0" outline="0" fieldPosition="0"/>
    </format>
    <format dxfId="18">
      <pivotArea type="all" dataOnly="0" outline="0" fieldPosition="0"/>
    </format>
    <format dxfId="17">
      <pivotArea type="all" dataOnly="0" outline="0" fieldPosition="0"/>
    </format>
    <format dxfId="16">
      <pivotArea outline="0" collapsedLevelsAreSubtotals="1" fieldPosition="0"/>
    </format>
    <format dxfId="15">
      <pivotArea dataOnly="0" labelOnly="1" outline="0" axis="axisValues" fieldPosition="0"/>
    </format>
    <format dxfId="14">
      <pivotArea type="all" dataOnly="0" outline="0" fieldPosition="0"/>
    </format>
    <format dxfId="13">
      <pivotArea outline="0" collapsedLevelsAreSubtotals="1"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dataOnly="0" labelOnly="1" outline="0" axis="axisValues" fieldPosition="0"/>
    </format>
    <format dxfId="2">
      <pivotArea type="all" dataOnly="0" outline="0"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7583669-45D4-42CA-9DC6-95B269ED8FBF}" name="PivotTable11"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71:B72" firstHeaderRow="1" firstDataRow="1" firstDataCol="0" rowPageCount="2" colPageCount="1"/>
  <pivotFields count="57">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276">
      <pivotArea type="all" dataOnly="0" outline="0" fieldPosition="0"/>
    </format>
    <format dxfId="275">
      <pivotArea type="all" dataOnly="0" outline="0" fieldPosition="0"/>
    </format>
    <format dxfId="274">
      <pivotArea type="all" dataOnly="0" outline="0" fieldPosition="0"/>
    </format>
    <format dxfId="273">
      <pivotArea type="all" dataOnly="0" outline="0" fieldPosition="0"/>
    </format>
    <format dxfId="272">
      <pivotArea type="all" dataOnly="0" outline="0" fieldPosition="0"/>
    </format>
    <format dxfId="271">
      <pivotArea type="all" dataOnly="0" outline="0" fieldPosition="0"/>
    </format>
    <format dxfId="270">
      <pivotArea type="all" dataOnly="0" outline="0" fieldPosition="0"/>
    </format>
    <format dxfId="269">
      <pivotArea type="all" dataOnly="0" outline="0" fieldPosition="0"/>
    </format>
    <format dxfId="268">
      <pivotArea type="all" dataOnly="0" outline="0" fieldPosition="0"/>
    </format>
    <format dxfId="267">
      <pivotArea type="all" dataOnly="0" outline="0" fieldPosition="0"/>
    </format>
    <format dxfId="266">
      <pivotArea type="all" dataOnly="0" outline="0" fieldPosition="0"/>
    </format>
    <format dxfId="265">
      <pivotArea outline="0" collapsedLevelsAreSubtotals="1" fieldPosition="0"/>
    </format>
    <format dxfId="264">
      <pivotArea dataOnly="0" labelOnly="1" outline="0" axis="axisValues" fieldPosition="0"/>
    </format>
    <format dxfId="263">
      <pivotArea type="all" dataOnly="0" outline="0" fieldPosition="0"/>
    </format>
    <format dxfId="262">
      <pivotArea outline="0" collapsedLevelsAreSubtotals="1" fieldPosition="0"/>
    </format>
    <format dxfId="261">
      <pivotArea dataOnly="0" labelOnly="1" outline="0" axis="axisValues" fieldPosition="0"/>
    </format>
    <format dxfId="260">
      <pivotArea type="all" dataOnly="0" outline="0" fieldPosition="0"/>
    </format>
    <format dxfId="259">
      <pivotArea outline="0" collapsedLevelsAreSubtotals="1" fieldPosition="0"/>
    </format>
    <format dxfId="258">
      <pivotArea dataOnly="0" labelOnly="1" outline="0" axis="axisValues" fieldPosition="0"/>
    </format>
    <format dxfId="257">
      <pivotArea type="all" dataOnly="0" outline="0" fieldPosition="0"/>
    </format>
    <format dxfId="256">
      <pivotArea outline="0" collapsedLevelsAreSubtotals="1" fieldPosition="0"/>
    </format>
    <format dxfId="255">
      <pivotArea dataOnly="0" labelOnly="1" outline="0" axis="axisValues" fieldPosition="0"/>
    </format>
    <format dxfId="254">
      <pivotArea type="all" dataOnly="0" outline="0" fieldPosition="0"/>
    </format>
    <format dxfId="253">
      <pivotArea outline="0" collapsedLevelsAreSubtotals="1" fieldPosition="0"/>
    </format>
    <format dxfId="252">
      <pivotArea dataOnly="0" labelOnly="1" outline="0" axis="axisValues" fieldPosition="0"/>
    </format>
    <format dxfId="251">
      <pivotArea type="all" dataOnly="0" outline="0" fieldPosition="0"/>
    </format>
    <format dxfId="250">
      <pivotArea outline="0" collapsedLevelsAreSubtotals="1" fieldPosition="0"/>
    </format>
    <format dxfId="24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E6E84BF-C69A-4AD9-8C39-8EE60EDC7155}" name="PivotTable77"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36:I341" firstHeaderRow="0" firstDataRow="1" firstDataCol="1" rowPageCount="2" colPageCount="1"/>
  <pivotFields count="68">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Row" multipleItemSelectionAllowed="1" showAll="0" defaultSubtotal="0">
      <items count="6">
        <item x="1"/>
        <item x="2"/>
        <item x="0"/>
        <item x="5"/>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5">
    <i>
      <x/>
    </i>
    <i>
      <x v="1"/>
    </i>
    <i>
      <x v="2"/>
    </i>
    <i>
      <x v="4"/>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28">
    <format dxfId="304">
      <pivotArea type="all" dataOnly="0" outline="0" fieldPosition="0"/>
    </format>
    <format dxfId="303">
      <pivotArea type="all" dataOnly="0" outline="0" fieldPosition="0"/>
    </format>
    <format dxfId="302">
      <pivotArea type="all" dataOnly="0" outline="0" fieldPosition="0"/>
    </format>
    <format dxfId="301">
      <pivotArea type="all" dataOnly="0" outline="0" fieldPosition="0"/>
    </format>
    <format dxfId="300">
      <pivotArea type="all" dataOnly="0" outline="0" fieldPosition="0"/>
    </format>
    <format dxfId="299">
      <pivotArea type="all" dataOnly="0" outline="0" fieldPosition="0"/>
    </format>
    <format dxfId="298">
      <pivotArea type="all" dataOnly="0" outline="0" fieldPosition="0"/>
    </format>
    <format dxfId="297">
      <pivotArea type="all" dataOnly="0" outline="0" fieldPosition="0"/>
    </format>
    <format dxfId="296">
      <pivotArea type="all" dataOnly="0" outline="0" fieldPosition="0"/>
    </format>
    <format dxfId="295">
      <pivotArea type="all" dataOnly="0" outline="0" fieldPosition="0"/>
    </format>
    <format dxfId="294">
      <pivotArea type="all" dataOnly="0" outline="0" fieldPosition="0"/>
    </format>
    <format dxfId="293">
      <pivotArea outline="0" collapsedLevelsAreSubtotals="1" fieldPosition="0"/>
    </format>
    <format dxfId="292">
      <pivotArea field="8" type="button" dataOnly="0" labelOnly="1" outline="0" axis="axisRow" fieldPosition="0"/>
    </format>
    <format dxfId="291">
      <pivotArea dataOnly="0" labelOnly="1" fieldPosition="0">
        <references count="1">
          <reference field="8" count="3">
            <x v="0"/>
            <x v="1"/>
            <x v="2"/>
          </reference>
        </references>
      </pivotArea>
    </format>
    <format dxfId="290">
      <pivotArea dataOnly="0" labelOnly="1" grandRow="1" outline="0" fieldPosition="0"/>
    </format>
    <format dxfId="289">
      <pivotArea dataOnly="0" labelOnly="1" outline="0" fieldPosition="0">
        <references count="1">
          <reference field="4294967294" count="7">
            <x v="0"/>
            <x v="1"/>
            <x v="2"/>
            <x v="3"/>
            <x v="4"/>
            <x v="5"/>
            <x v="6"/>
          </reference>
        </references>
      </pivotArea>
    </format>
    <format dxfId="288">
      <pivotArea type="all" dataOnly="0" outline="0" fieldPosition="0"/>
    </format>
    <format dxfId="287">
      <pivotArea outline="0" collapsedLevelsAreSubtotals="1" fieldPosition="0"/>
    </format>
    <format dxfId="286">
      <pivotArea field="8" type="button" dataOnly="0" labelOnly="1" outline="0" axis="axisRow" fieldPosition="0"/>
    </format>
    <format dxfId="285">
      <pivotArea dataOnly="0" labelOnly="1" fieldPosition="0">
        <references count="1">
          <reference field="8" count="4">
            <x v="0"/>
            <x v="1"/>
            <x v="2"/>
            <x v="4"/>
          </reference>
        </references>
      </pivotArea>
    </format>
    <format dxfId="284">
      <pivotArea dataOnly="0" labelOnly="1" grandRow="1" outline="0" fieldPosition="0"/>
    </format>
    <format dxfId="283">
      <pivotArea dataOnly="0" labelOnly="1" outline="0" fieldPosition="0">
        <references count="1">
          <reference field="4294967294" count="7">
            <x v="0"/>
            <x v="1"/>
            <x v="2"/>
            <x v="3"/>
            <x v="4"/>
            <x v="5"/>
            <x v="6"/>
          </reference>
        </references>
      </pivotArea>
    </format>
    <format dxfId="282">
      <pivotArea type="all" dataOnly="0" outline="0" fieldPosition="0"/>
    </format>
    <format dxfId="281">
      <pivotArea outline="0" collapsedLevelsAreSubtotals="1" fieldPosition="0"/>
    </format>
    <format dxfId="280">
      <pivotArea field="8" type="button" dataOnly="0" labelOnly="1" outline="0" axis="axisRow" fieldPosition="0"/>
    </format>
    <format dxfId="279">
      <pivotArea dataOnly="0" labelOnly="1" fieldPosition="0">
        <references count="1">
          <reference field="8" count="4">
            <x v="0"/>
            <x v="1"/>
            <x v="2"/>
            <x v="4"/>
          </reference>
        </references>
      </pivotArea>
    </format>
    <format dxfId="278">
      <pivotArea dataOnly="0" labelOnly="1" grandRow="1" outline="0" fieldPosition="0"/>
    </format>
    <format dxfId="277">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DC59D35-B201-40CB-AB0D-FD3AE99BCB02}" name="PivotTable65"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73:B17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332">
      <pivotArea type="all" dataOnly="0" outline="0" fieldPosition="0"/>
    </format>
    <format dxfId="331">
      <pivotArea type="all" dataOnly="0" outline="0" fieldPosition="0"/>
    </format>
    <format dxfId="330">
      <pivotArea type="all" dataOnly="0" outline="0" fieldPosition="0"/>
    </format>
    <format dxfId="329">
      <pivotArea type="all" dataOnly="0" outline="0" fieldPosition="0"/>
    </format>
    <format dxfId="328">
      <pivotArea type="all" dataOnly="0" outline="0" fieldPosition="0"/>
    </format>
    <format dxfId="327">
      <pivotArea type="all" dataOnly="0" outline="0" fieldPosition="0"/>
    </format>
    <format dxfId="326">
      <pivotArea type="all" dataOnly="0" outline="0" fieldPosition="0"/>
    </format>
    <format dxfId="325">
      <pivotArea type="all" dataOnly="0" outline="0" fieldPosition="0"/>
    </format>
    <format dxfId="324">
      <pivotArea type="all" dataOnly="0" outline="0" fieldPosition="0"/>
    </format>
    <format dxfId="323">
      <pivotArea type="all" dataOnly="0" outline="0" fieldPosition="0"/>
    </format>
    <format dxfId="322">
      <pivotArea type="all" dataOnly="0" outline="0" fieldPosition="0"/>
    </format>
    <format dxfId="321">
      <pivotArea outline="0" collapsedLevelsAreSubtotals="1" fieldPosition="0"/>
    </format>
    <format dxfId="320">
      <pivotArea dataOnly="0" labelOnly="1" outline="0" axis="axisValues" fieldPosition="0"/>
    </format>
    <format dxfId="319">
      <pivotArea type="all" dataOnly="0" outline="0" fieldPosition="0"/>
    </format>
    <format dxfId="318">
      <pivotArea outline="0" collapsedLevelsAreSubtotals="1" fieldPosition="0"/>
    </format>
    <format dxfId="317">
      <pivotArea dataOnly="0" labelOnly="1" outline="0" axis="axisValues" fieldPosition="0"/>
    </format>
    <format dxfId="316">
      <pivotArea type="all" dataOnly="0" outline="0" fieldPosition="0"/>
    </format>
    <format dxfId="315">
      <pivotArea outline="0" collapsedLevelsAreSubtotals="1" fieldPosition="0"/>
    </format>
    <format dxfId="314">
      <pivotArea dataOnly="0" labelOnly="1" outline="0" axis="axisValues" fieldPosition="0"/>
    </format>
    <format dxfId="313">
      <pivotArea type="all" dataOnly="0" outline="0" fieldPosition="0"/>
    </format>
    <format dxfId="312">
      <pivotArea outline="0" collapsedLevelsAreSubtotals="1" fieldPosition="0"/>
    </format>
    <format dxfId="311">
      <pivotArea dataOnly="0" labelOnly="1" outline="0" axis="axisValues" fieldPosition="0"/>
    </format>
    <format dxfId="310">
      <pivotArea type="all" dataOnly="0" outline="0" fieldPosition="0"/>
    </format>
    <format dxfId="309">
      <pivotArea outline="0" collapsedLevelsAreSubtotals="1" fieldPosition="0"/>
    </format>
    <format dxfId="308">
      <pivotArea dataOnly="0" labelOnly="1" outline="0" axis="axisValues" fieldPosition="0"/>
    </format>
    <format dxfId="307">
      <pivotArea type="all" dataOnly="0" outline="0" fieldPosition="0"/>
    </format>
    <format dxfId="306">
      <pivotArea outline="0" collapsedLevelsAreSubtotals="1" fieldPosition="0"/>
    </format>
    <format dxfId="3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92F7E51-C6FF-41FE-9E6B-66DE6432127A}" name="PivotTable27"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22:H223" firstHeaderRow="1" firstDataRow="1" firstDataCol="0" rowPageCount="3" colPageCount="1"/>
  <pivotFields count="57">
    <pivotField showAll="0" defaultSubtotal="0"/>
    <pivotField axis="axisPage" multipleItemSelectionAllowed="1" showAll="0" defaultSubtotal="0">
      <items count="6">
        <item x="1"/>
        <item x="2"/>
        <item x="4"/>
        <item h="1" x="3"/>
        <item h="1"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x="1"/>
        <item x="2"/>
        <item x="0"/>
        <item m="1" x="6"/>
        <item x="3"/>
        <item m="1" x="7"/>
        <item m="1" x="5"/>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360">
      <pivotArea type="all" dataOnly="0" outline="0" fieldPosition="0"/>
    </format>
    <format dxfId="359">
      <pivotArea type="all" dataOnly="0" outline="0" fieldPosition="0"/>
    </format>
    <format dxfId="358">
      <pivotArea type="all" dataOnly="0" outline="0" fieldPosition="0"/>
    </format>
    <format dxfId="357">
      <pivotArea type="all" dataOnly="0" outline="0" fieldPosition="0"/>
    </format>
    <format dxfId="356">
      <pivotArea type="all" dataOnly="0" outline="0" fieldPosition="0"/>
    </format>
    <format dxfId="355">
      <pivotArea type="all" dataOnly="0" outline="0" fieldPosition="0"/>
    </format>
    <format dxfId="354">
      <pivotArea type="all" dataOnly="0" outline="0" fieldPosition="0"/>
    </format>
    <format dxfId="353">
      <pivotArea type="all" dataOnly="0" outline="0" fieldPosition="0"/>
    </format>
    <format dxfId="352">
      <pivotArea type="all" dataOnly="0" outline="0" fieldPosition="0"/>
    </format>
    <format dxfId="351">
      <pivotArea type="all" dataOnly="0" outline="0" fieldPosition="0"/>
    </format>
    <format dxfId="350">
      <pivotArea type="all" dataOnly="0" outline="0" fieldPosition="0"/>
    </format>
    <format dxfId="349">
      <pivotArea outline="0" collapsedLevelsAreSubtotals="1" fieldPosition="0"/>
    </format>
    <format dxfId="348">
      <pivotArea dataOnly="0" labelOnly="1" outline="0" axis="axisValues" fieldPosition="0"/>
    </format>
    <format dxfId="347">
      <pivotArea type="all" dataOnly="0" outline="0" fieldPosition="0"/>
    </format>
    <format dxfId="346">
      <pivotArea outline="0" collapsedLevelsAreSubtotals="1" fieldPosition="0"/>
    </format>
    <format dxfId="345">
      <pivotArea dataOnly="0" labelOnly="1" outline="0" axis="axisValues" fieldPosition="0"/>
    </format>
    <format dxfId="344">
      <pivotArea type="all" dataOnly="0" outline="0" fieldPosition="0"/>
    </format>
    <format dxfId="343">
      <pivotArea outline="0" collapsedLevelsAreSubtotals="1" fieldPosition="0"/>
    </format>
    <format dxfId="342">
      <pivotArea dataOnly="0" labelOnly="1" outline="0" axis="axisValues" fieldPosition="0"/>
    </format>
    <format dxfId="341">
      <pivotArea type="all" dataOnly="0" outline="0" fieldPosition="0"/>
    </format>
    <format dxfId="340">
      <pivotArea outline="0" collapsedLevelsAreSubtotals="1" fieldPosition="0"/>
    </format>
    <format dxfId="339">
      <pivotArea dataOnly="0" labelOnly="1" outline="0" axis="axisValues" fieldPosition="0"/>
    </format>
    <format dxfId="338">
      <pivotArea type="all" dataOnly="0" outline="0" fieldPosition="0"/>
    </format>
    <format dxfId="337">
      <pivotArea outline="0" collapsedLevelsAreSubtotals="1" fieldPosition="0"/>
    </format>
    <format dxfId="336">
      <pivotArea dataOnly="0" labelOnly="1" outline="0" axis="axisValues" fieldPosition="0"/>
    </format>
    <format dxfId="335">
      <pivotArea type="all" dataOnly="0" outline="0" fieldPosition="0"/>
    </format>
    <format dxfId="334">
      <pivotArea outline="0" collapsedLevelsAreSubtotals="1" fieldPosition="0"/>
    </format>
    <format dxfId="3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67FE8EB9-7DB6-464E-B699-9DC756B05D5F}" name="PivotTable83"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29:H440" firstHeaderRow="0" firstDataRow="1" firstDataCol="1" rowPageCount="1" colPageCount="1"/>
  <pivotFields count="68">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numFmtId="164" showAll="0"/>
    <pivotField dataField="1" numFmtId="164" showAll="0"/>
    <pivotField dataField="1" numFmtId="164" showAll="0"/>
    <pivotField dataField="1" numFmtId="164" showAll="0"/>
    <pivotField dataField="1" numFmtId="164" showAll="0"/>
    <pivotField dataField="1" numFmtId="164" showAll="0"/>
    <pivotField numFmtId="164" showAll="0"/>
    <pivotField numFmtId="164" showAll="0"/>
    <pivotField numFmtId="164" showAll="0"/>
    <pivotField numFmtId="164" showAll="0"/>
    <pivotField numFmtId="164"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ataField="1" dragToRow="0" dragToCol="0" dragToPage="0" showAll="0" defaultSubtotal="0"/>
    <pivotField dragToRow="0" dragToCol="0" dragToPage="0" showAll="0" defaultSubtotal="0"/>
  </pivotFields>
  <rowFields count="1">
    <field x="56"/>
  </rowFields>
  <rowItems count="11">
    <i>
      <x v="2"/>
    </i>
    <i>
      <x v="3"/>
    </i>
    <i>
      <x v="8"/>
    </i>
    <i>
      <x v="9"/>
    </i>
    <i>
      <x v="10"/>
    </i>
    <i>
      <x v="12"/>
    </i>
    <i>
      <x v="14"/>
    </i>
    <i>
      <x v="15"/>
    </i>
    <i>
      <x v="17"/>
    </i>
    <i>
      <x v="18"/>
    </i>
    <i t="grand">
      <x/>
    </i>
  </rowItems>
  <colFields count="1">
    <field x="-2"/>
  </colFields>
  <colItems count="6">
    <i>
      <x/>
    </i>
    <i i="1">
      <x v="1"/>
    </i>
    <i i="2">
      <x v="2"/>
    </i>
    <i i="3">
      <x v="3"/>
    </i>
    <i i="4">
      <x v="4"/>
    </i>
    <i i="5">
      <x v="5"/>
    </i>
  </colItems>
  <pageFields count="1">
    <pageField fld="7" hier="-1"/>
  </pageFields>
  <dataFields count="6">
    <dataField name="Sum of 2020/21 (1)" fld="43" baseField="0" baseItem="0" numFmtId="2"/>
    <dataField name="Sum of 2021/22 (2)" fld="44" baseField="0" baseItem="0"/>
    <dataField name="Sum of 2022/23 (3)" fld="45" baseField="0" baseItem="0"/>
    <dataField name="Sum of 2023/24 (4)" fld="46" baseField="0" baseItem="0"/>
    <dataField name="Sum of 2024/25 (5)" fld="47" baseField="0" baseItem="0"/>
    <dataField name="Sum of 5 year total" fld="66" baseField="0" baseItem="0" numFmtId="164"/>
  </dataFields>
  <formats count="33">
    <format dxfId="393">
      <pivotArea type="all" dataOnly="0" outline="0" fieldPosition="0"/>
    </format>
    <format dxfId="392">
      <pivotArea type="all" dataOnly="0" outline="0" fieldPosition="0"/>
    </format>
    <format dxfId="391">
      <pivotArea type="all" dataOnly="0" outline="0" fieldPosition="0"/>
    </format>
    <format dxfId="390">
      <pivotArea type="all" dataOnly="0" outline="0" fieldPosition="0"/>
    </format>
    <format dxfId="389">
      <pivotArea type="all" dataOnly="0" outline="0" fieldPosition="0"/>
    </format>
    <format dxfId="388">
      <pivotArea type="all" dataOnly="0" outline="0" fieldPosition="0"/>
    </format>
    <format dxfId="387">
      <pivotArea type="all" dataOnly="0" outline="0" fieldPosition="0"/>
    </format>
    <format dxfId="386">
      <pivotArea field="56" type="button" dataOnly="0" labelOnly="1" outline="0" axis="axisRow" fieldPosition="0"/>
    </format>
    <format dxfId="385">
      <pivotArea field="56" type="button" dataOnly="0" labelOnly="1" outline="0" axis="axisRow" fieldPosition="0"/>
    </format>
    <format dxfId="384">
      <pivotArea field="56" type="button" dataOnly="0" labelOnly="1" outline="0" axis="axisRow" fieldPosition="0"/>
    </format>
    <format dxfId="383">
      <pivotArea type="all" dataOnly="0" outline="0" fieldPosition="0"/>
    </format>
    <format dxfId="382">
      <pivotArea type="all" dataOnly="0" outline="0" fieldPosition="0"/>
    </format>
    <format dxfId="381">
      <pivotArea type="all" dataOnly="0" outline="0" fieldPosition="0"/>
    </format>
    <format dxfId="380">
      <pivotArea type="all" dataOnly="0" outline="0" fieldPosition="0"/>
    </format>
    <format dxfId="379">
      <pivotArea outline="0" collapsedLevelsAreSubtotals="1" fieldPosition="0"/>
    </format>
    <format dxfId="378">
      <pivotArea field="56" type="button" dataOnly="0" labelOnly="1" outline="0" axis="axisRow" fieldPosition="0"/>
    </format>
    <format dxfId="377">
      <pivotArea dataOnly="0" labelOnly="1" fieldPosition="0">
        <references count="1">
          <reference field="56" count="4">
            <x v="3"/>
            <x v="5"/>
            <x v="9"/>
            <x v="11"/>
          </reference>
        </references>
      </pivotArea>
    </format>
    <format dxfId="376">
      <pivotArea dataOnly="0" labelOnly="1" grandRow="1" outline="0" fieldPosition="0"/>
    </format>
    <format dxfId="375">
      <pivotArea dataOnly="0" labelOnly="1" outline="0" fieldPosition="0">
        <references count="1">
          <reference field="4294967294" count="5">
            <x v="0"/>
            <x v="1"/>
            <x v="2"/>
            <x v="3"/>
            <x v="4"/>
          </reference>
        </references>
      </pivotArea>
    </format>
    <format dxfId="374">
      <pivotArea outline="0" collapsedLevelsAreSubtotals="1" fieldPosition="0"/>
    </format>
    <format dxfId="373">
      <pivotArea outline="0" fieldPosition="0">
        <references count="1">
          <reference field="4294967294" count="1">
            <x v="0"/>
          </reference>
        </references>
      </pivotArea>
    </format>
    <format dxfId="372">
      <pivotArea type="all" dataOnly="0" outline="0" fieldPosition="0"/>
    </format>
    <format dxfId="371">
      <pivotArea outline="0" collapsedLevelsAreSubtotals="1" fieldPosition="0"/>
    </format>
    <format dxfId="370">
      <pivotArea field="56" type="button" dataOnly="0" labelOnly="1" outline="0" axis="axisRow" fieldPosition="0"/>
    </format>
    <format dxfId="369">
      <pivotArea dataOnly="0" labelOnly="1" fieldPosition="0">
        <references count="1">
          <reference field="56" count="10">
            <x v="2"/>
            <x v="3"/>
            <x v="8"/>
            <x v="9"/>
            <x v="10"/>
            <x v="12"/>
            <x v="14"/>
            <x v="15"/>
            <x v="17"/>
            <x v="18"/>
          </reference>
        </references>
      </pivotArea>
    </format>
    <format dxfId="368">
      <pivotArea dataOnly="0" labelOnly="1" grandRow="1" outline="0" fieldPosition="0"/>
    </format>
    <format dxfId="367">
      <pivotArea dataOnly="0" labelOnly="1" outline="0" fieldPosition="0">
        <references count="1">
          <reference field="4294967294" count="6">
            <x v="0"/>
            <x v="1"/>
            <x v="2"/>
            <x v="3"/>
            <x v="4"/>
            <x v="5"/>
          </reference>
        </references>
      </pivotArea>
    </format>
    <format dxfId="366">
      <pivotArea type="all" dataOnly="0" outline="0" fieldPosition="0"/>
    </format>
    <format dxfId="365">
      <pivotArea outline="0" collapsedLevelsAreSubtotals="1" fieldPosition="0"/>
    </format>
    <format dxfId="364">
      <pivotArea field="56" type="button" dataOnly="0" labelOnly="1" outline="0" axis="axisRow" fieldPosition="0"/>
    </format>
    <format dxfId="363">
      <pivotArea dataOnly="0" labelOnly="1" fieldPosition="0">
        <references count="1">
          <reference field="56" count="10">
            <x v="2"/>
            <x v="3"/>
            <x v="8"/>
            <x v="9"/>
            <x v="10"/>
            <x v="12"/>
            <x v="14"/>
            <x v="15"/>
            <x v="17"/>
            <x v="18"/>
          </reference>
        </references>
      </pivotArea>
    </format>
    <format dxfId="362">
      <pivotArea dataOnly="0" labelOnly="1" grandRow="1" outline="0" fieldPosition="0"/>
    </format>
    <format dxfId="361">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1D7EE71C-F3B0-45D8-8CF4-816E3FE07E84}" name="PivotTable40"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25:B12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421">
      <pivotArea type="all" dataOnly="0" outline="0" fieldPosition="0"/>
    </format>
    <format dxfId="420">
      <pivotArea type="all" dataOnly="0" outline="0" fieldPosition="0"/>
    </format>
    <format dxfId="419">
      <pivotArea type="all" dataOnly="0" outline="0" fieldPosition="0"/>
    </format>
    <format dxfId="418">
      <pivotArea type="all" dataOnly="0" outline="0" fieldPosition="0"/>
    </format>
    <format dxfId="417">
      <pivotArea type="all" dataOnly="0" outline="0" fieldPosition="0"/>
    </format>
    <format dxfId="416">
      <pivotArea type="all" dataOnly="0" outline="0" fieldPosition="0"/>
    </format>
    <format dxfId="415">
      <pivotArea type="all" dataOnly="0" outline="0" fieldPosition="0"/>
    </format>
    <format dxfId="414">
      <pivotArea type="all" dataOnly="0" outline="0" fieldPosition="0"/>
    </format>
    <format dxfId="413">
      <pivotArea type="all" dataOnly="0" outline="0" fieldPosition="0"/>
    </format>
    <format dxfId="412">
      <pivotArea type="all" dataOnly="0" outline="0" fieldPosition="0"/>
    </format>
    <format dxfId="411">
      <pivotArea type="all" dataOnly="0" outline="0" fieldPosition="0"/>
    </format>
    <format dxfId="410">
      <pivotArea outline="0" collapsedLevelsAreSubtotals="1" fieldPosition="0"/>
    </format>
    <format dxfId="409">
      <pivotArea dataOnly="0" labelOnly="1" outline="0" axis="axisValues" fieldPosition="0"/>
    </format>
    <format dxfId="408">
      <pivotArea type="all" dataOnly="0" outline="0" fieldPosition="0"/>
    </format>
    <format dxfId="407">
      <pivotArea outline="0" collapsedLevelsAreSubtotals="1" fieldPosition="0"/>
    </format>
    <format dxfId="406">
      <pivotArea dataOnly="0" labelOnly="1" outline="0" axis="axisValues" fieldPosition="0"/>
    </format>
    <format dxfId="405">
      <pivotArea type="all" dataOnly="0" outline="0" fieldPosition="0"/>
    </format>
    <format dxfId="404">
      <pivotArea outline="0" collapsedLevelsAreSubtotals="1" fieldPosition="0"/>
    </format>
    <format dxfId="403">
      <pivotArea dataOnly="0" labelOnly="1" outline="0" axis="axisValues" fieldPosition="0"/>
    </format>
    <format dxfId="402">
      <pivotArea type="all" dataOnly="0" outline="0" fieldPosition="0"/>
    </format>
    <format dxfId="401">
      <pivotArea outline="0" collapsedLevelsAreSubtotals="1" fieldPosition="0"/>
    </format>
    <format dxfId="400">
      <pivotArea dataOnly="0" labelOnly="1" outline="0" axis="axisValues" fieldPosition="0"/>
    </format>
    <format dxfId="399">
      <pivotArea type="all" dataOnly="0" outline="0" fieldPosition="0"/>
    </format>
    <format dxfId="398">
      <pivotArea outline="0" collapsedLevelsAreSubtotals="1" fieldPosition="0"/>
    </format>
    <format dxfId="397">
      <pivotArea dataOnly="0" labelOnly="1" outline="0" axis="axisValues" fieldPosition="0"/>
    </format>
    <format dxfId="396">
      <pivotArea type="all" dataOnly="0" outline="0" fieldPosition="0"/>
    </format>
    <format dxfId="395">
      <pivotArea outline="0" collapsedLevelsAreSubtotals="1" fieldPosition="0"/>
    </format>
    <format dxfId="3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72EC6D4-FB74-4677-B85F-AECE709723FF}" name="PivotTable47"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41:B14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449">
      <pivotArea type="all" dataOnly="0" outline="0" fieldPosition="0"/>
    </format>
    <format dxfId="448">
      <pivotArea type="all" dataOnly="0" outline="0" fieldPosition="0"/>
    </format>
    <format dxfId="447">
      <pivotArea type="all" dataOnly="0" outline="0" fieldPosition="0"/>
    </format>
    <format dxfId="446">
      <pivotArea type="all" dataOnly="0" outline="0" fieldPosition="0"/>
    </format>
    <format dxfId="445">
      <pivotArea type="all" dataOnly="0" outline="0" fieldPosition="0"/>
    </format>
    <format dxfId="444">
      <pivotArea type="all" dataOnly="0" outline="0" fieldPosition="0"/>
    </format>
    <format dxfId="443">
      <pivotArea type="all" dataOnly="0" outline="0" fieldPosition="0"/>
    </format>
    <format dxfId="442">
      <pivotArea type="all" dataOnly="0" outline="0" fieldPosition="0"/>
    </format>
    <format dxfId="441">
      <pivotArea type="all" dataOnly="0" outline="0" fieldPosition="0"/>
    </format>
    <format dxfId="440">
      <pivotArea type="all" dataOnly="0" outline="0" fieldPosition="0"/>
    </format>
    <format dxfId="439">
      <pivotArea type="all" dataOnly="0" outline="0" fieldPosition="0"/>
    </format>
    <format dxfId="438">
      <pivotArea outline="0" collapsedLevelsAreSubtotals="1" fieldPosition="0"/>
    </format>
    <format dxfId="437">
      <pivotArea dataOnly="0" labelOnly="1" outline="0" axis="axisValues" fieldPosition="0"/>
    </format>
    <format dxfId="436">
      <pivotArea type="all" dataOnly="0" outline="0" fieldPosition="0"/>
    </format>
    <format dxfId="435">
      <pivotArea outline="0" collapsedLevelsAreSubtotals="1" fieldPosition="0"/>
    </format>
    <format dxfId="434">
      <pivotArea dataOnly="0" labelOnly="1" outline="0" axis="axisValues" fieldPosition="0"/>
    </format>
    <format dxfId="433">
      <pivotArea type="all" dataOnly="0" outline="0" fieldPosition="0"/>
    </format>
    <format dxfId="432">
      <pivotArea outline="0" collapsedLevelsAreSubtotals="1" fieldPosition="0"/>
    </format>
    <format dxfId="431">
      <pivotArea dataOnly="0" labelOnly="1" outline="0" axis="axisValues" fieldPosition="0"/>
    </format>
    <format dxfId="430">
      <pivotArea type="all" dataOnly="0" outline="0" fieldPosition="0"/>
    </format>
    <format dxfId="429">
      <pivotArea outline="0" collapsedLevelsAreSubtotals="1" fieldPosition="0"/>
    </format>
    <format dxfId="428">
      <pivotArea dataOnly="0" labelOnly="1" outline="0" axis="axisValues" fieldPosition="0"/>
    </format>
    <format dxfId="427">
      <pivotArea type="all" dataOnly="0" outline="0" fieldPosition="0"/>
    </format>
    <format dxfId="426">
      <pivotArea outline="0" collapsedLevelsAreSubtotals="1" fieldPosition="0"/>
    </format>
    <format dxfId="425">
      <pivotArea dataOnly="0" labelOnly="1" outline="0" axis="axisValues" fieldPosition="0"/>
    </format>
    <format dxfId="424">
      <pivotArea type="all" dataOnly="0" outline="0" fieldPosition="0"/>
    </format>
    <format dxfId="423">
      <pivotArea outline="0" collapsedLevelsAreSubtotals="1" fieldPosition="0"/>
    </format>
    <format dxfId="42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9B11775C-3E1B-4593-B2D9-BBC578C63A0D}" name="PivotTable37"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21:K422" firstHeaderRow="0" firstDataRow="1" firstDataCol="0" rowPageCount="1" colPageCount="1"/>
  <pivotFields count="6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x="1"/>
        <item x="2"/>
        <item x="4"/>
        <item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pivotField dataField="1" numFmtId="164" showAll="0"/>
    <pivotField dataField="1" numFmtId="164" showAll="0"/>
    <pivotField dataField="1" numFmtId="164" showAll="0"/>
    <pivotField dataField="1" numFmtId="164" showAll="0"/>
    <pivotField dataField="1" numFmtId="164" showAll="0"/>
    <pivotField dataField="1" showAll="0"/>
    <pivotField dataField="1" showAll="0"/>
    <pivotField dataField="1" showAll="0"/>
    <pivotField dataField="1" showAll="0"/>
    <pivotField dataField="1" showAll="0"/>
    <pivotField numFmtId="1" showAll="0"/>
    <pivotField showAll="0" defaultSubtotal="0"/>
    <pivotField showAll="0" defaultSubtotal="0"/>
    <pivotField showAll="0" defaultSubtota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Fields count="1">
    <field x="-2"/>
  </colFields>
  <colItems count="10">
    <i>
      <x/>
    </i>
    <i i="1">
      <x v="1"/>
    </i>
    <i i="2">
      <x v="2"/>
    </i>
    <i i="3">
      <x v="3"/>
    </i>
    <i i="4">
      <x v="4"/>
    </i>
    <i i="5">
      <x v="5"/>
    </i>
    <i i="6">
      <x v="6"/>
    </i>
    <i i="7">
      <x v="7"/>
    </i>
    <i i="8">
      <x v="8"/>
    </i>
    <i i="9">
      <x v="9"/>
    </i>
  </colItems>
  <pageFields count="1">
    <pageField fld="7" hier="-1"/>
  </pageFields>
  <dataFields count="10">
    <dataField name="Sum of 2020/21 (1)" fld="43" baseField="0" baseItem="0"/>
    <dataField name="Sum of 2021/22 (2)" fld="44" baseField="0" baseItem="0"/>
    <dataField name="Sum of 2022/23 (3)" fld="45" baseField="0" baseItem="0"/>
    <dataField name="Sum of 2023/24 (4)" fld="46" baseField="0" baseItem="0"/>
    <dataField name="Sum of 2024/25 (5)" fld="47" baseField="0" baseItem="0"/>
    <dataField name="Sum of 2025/26 (6)" fld="48" baseField="0" baseItem="0"/>
    <dataField name="Sum of 2026/27 (7)" fld="49" baseField="0" baseItem="0"/>
    <dataField name="Sum of 2027/28 (8)" fld="50" baseField="0" baseItem="0"/>
    <dataField name="Sum of 2028/29 (9)" fld="51" baseField="0" baseItem="0"/>
    <dataField name="Sum of 2029/30 (10)" fld="52" baseField="0" baseItem="0"/>
  </dataFields>
  <formats count="20">
    <format dxfId="469">
      <pivotArea type="all" dataOnly="0" outline="0" fieldPosition="0"/>
    </format>
    <format dxfId="468">
      <pivotArea type="all" dataOnly="0" outline="0" fieldPosition="0"/>
    </format>
    <format dxfId="467">
      <pivotArea type="all" dataOnly="0" outline="0" fieldPosition="0"/>
    </format>
    <format dxfId="466">
      <pivotArea type="all" dataOnly="0" outline="0" fieldPosition="0"/>
    </format>
    <format dxfId="465">
      <pivotArea type="all" dataOnly="0" outline="0" fieldPosition="0"/>
    </format>
    <format dxfId="464">
      <pivotArea type="all" dataOnly="0" outline="0" fieldPosition="0"/>
    </format>
    <format dxfId="463">
      <pivotArea type="all" dataOnly="0" outline="0" fieldPosition="0"/>
    </format>
    <format dxfId="462">
      <pivotArea outline="0" collapsedLevelsAreSubtotals="1" fieldPosition="0"/>
    </format>
    <format dxfId="461">
      <pivotArea type="all" dataOnly="0" outline="0" fieldPosition="0"/>
    </format>
    <format dxfId="460">
      <pivotArea type="all" dataOnly="0" outline="0" fieldPosition="0"/>
    </format>
    <format dxfId="459">
      <pivotArea type="all" dataOnly="0" outline="0" fieldPosition="0"/>
    </format>
    <format dxfId="458">
      <pivotArea type="all" dataOnly="0" outline="0" fieldPosition="0"/>
    </format>
    <format dxfId="457">
      <pivotArea outline="0" collapsedLevelsAreSubtotals="1" fieldPosition="0"/>
    </format>
    <format dxfId="456">
      <pivotArea dataOnly="0" labelOnly="1" outline="0" fieldPosition="0">
        <references count="1">
          <reference field="4294967294" count="5">
            <x v="0"/>
            <x v="1"/>
            <x v="2"/>
            <x v="3"/>
            <x v="4"/>
          </reference>
        </references>
      </pivotArea>
    </format>
    <format dxfId="455">
      <pivotArea type="all" dataOnly="0" outline="0" fieldPosition="0"/>
    </format>
    <format dxfId="454">
      <pivotArea outline="0" collapsedLevelsAreSubtotals="1" fieldPosition="0"/>
    </format>
    <format dxfId="453">
      <pivotArea dataOnly="0" labelOnly="1" outline="0" fieldPosition="0">
        <references count="1">
          <reference field="4294967294" count="10">
            <x v="0"/>
            <x v="1"/>
            <x v="2"/>
            <x v="3"/>
            <x v="4"/>
            <x v="5"/>
            <x v="6"/>
            <x v="7"/>
            <x v="8"/>
            <x v="9"/>
          </reference>
        </references>
      </pivotArea>
    </format>
    <format dxfId="452">
      <pivotArea type="all" dataOnly="0" outline="0" fieldPosition="0"/>
    </format>
    <format dxfId="451">
      <pivotArea outline="0" collapsedLevelsAreSubtotals="1" fieldPosition="0"/>
    </format>
    <format dxfId="450">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50C8A0A1-7F19-4FDF-B54D-71AA589EFAC0}" name="PivotTable60"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92:H19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x="1"/>
        <item h="1"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497">
      <pivotArea type="all" dataOnly="0" outline="0" fieldPosition="0"/>
    </format>
    <format dxfId="496">
      <pivotArea type="all" dataOnly="0" outline="0" fieldPosition="0"/>
    </format>
    <format dxfId="495">
      <pivotArea type="all" dataOnly="0" outline="0" fieldPosition="0"/>
    </format>
    <format dxfId="494">
      <pivotArea type="all" dataOnly="0" outline="0" fieldPosition="0"/>
    </format>
    <format dxfId="493">
      <pivotArea type="all" dataOnly="0" outline="0" fieldPosition="0"/>
    </format>
    <format dxfId="492">
      <pivotArea type="all" dataOnly="0" outline="0" fieldPosition="0"/>
    </format>
    <format dxfId="491">
      <pivotArea type="all" dataOnly="0" outline="0" fieldPosition="0"/>
    </format>
    <format dxfId="490">
      <pivotArea type="all" dataOnly="0" outline="0" fieldPosition="0"/>
    </format>
    <format dxfId="489">
      <pivotArea type="all" dataOnly="0" outline="0" fieldPosition="0"/>
    </format>
    <format dxfId="488">
      <pivotArea type="all" dataOnly="0" outline="0" fieldPosition="0"/>
    </format>
    <format dxfId="487">
      <pivotArea type="all" dataOnly="0" outline="0" fieldPosition="0"/>
    </format>
    <format dxfId="486">
      <pivotArea outline="0" collapsedLevelsAreSubtotals="1" fieldPosition="0"/>
    </format>
    <format dxfId="485">
      <pivotArea dataOnly="0" labelOnly="1" outline="0" axis="axisValues" fieldPosition="0"/>
    </format>
    <format dxfId="484">
      <pivotArea type="all" dataOnly="0" outline="0" fieldPosition="0"/>
    </format>
    <format dxfId="483">
      <pivotArea outline="0" collapsedLevelsAreSubtotals="1" fieldPosition="0"/>
    </format>
    <format dxfId="482">
      <pivotArea dataOnly="0" labelOnly="1" outline="0" axis="axisValues" fieldPosition="0"/>
    </format>
    <format dxfId="481">
      <pivotArea type="all" dataOnly="0" outline="0" fieldPosition="0"/>
    </format>
    <format dxfId="480">
      <pivotArea outline="0" collapsedLevelsAreSubtotals="1" fieldPosition="0"/>
    </format>
    <format dxfId="479">
      <pivotArea dataOnly="0" labelOnly="1" outline="0" axis="axisValues" fieldPosition="0"/>
    </format>
    <format dxfId="478">
      <pivotArea type="all" dataOnly="0" outline="0" fieldPosition="0"/>
    </format>
    <format dxfId="477">
      <pivotArea outline="0" collapsedLevelsAreSubtotals="1" fieldPosition="0"/>
    </format>
    <format dxfId="476">
      <pivotArea dataOnly="0" labelOnly="1" outline="0" axis="axisValues" fieldPosition="0"/>
    </format>
    <format dxfId="475">
      <pivotArea type="all" dataOnly="0" outline="0" fieldPosition="0"/>
    </format>
    <format dxfId="474">
      <pivotArea outline="0" collapsedLevelsAreSubtotals="1" fieldPosition="0"/>
    </format>
    <format dxfId="473">
      <pivotArea dataOnly="0" labelOnly="1" outline="0" axis="axisValues" fieldPosition="0"/>
    </format>
    <format dxfId="472">
      <pivotArea type="all" dataOnly="0" outline="0" fieldPosition="0"/>
    </format>
    <format dxfId="471">
      <pivotArea outline="0" collapsedLevelsAreSubtotals="1" fieldPosition="0"/>
    </format>
    <format dxfId="4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ADA82D3-FAE8-4FCE-8987-BAB9C2FADCD3}" name="PivotTable36"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55:I258" firstHeaderRow="1" firstDataRow="1" firstDataCol="1" rowPageCount="1" colPageCount="1"/>
  <pivotFields count="6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m="1" x="5"/>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axis="axisRow" showAll="0">
      <items count="3">
        <item x="1"/>
        <item x="0"/>
        <item t="default"/>
      </items>
    </pivotField>
    <pivotField showAll="0" defaultSubtotal="0"/>
    <pivotField showAll="0">
      <items count="3">
        <item x="1"/>
        <item x="0"/>
        <item t="default"/>
      </items>
    </pivotField>
    <pivotField showAll="0"/>
    <pivotField showAll="0"/>
    <pivotField showAll="0"/>
    <pivotField showAll="0"/>
    <pivotField showAll="0"/>
    <pivotField showAll="0"/>
  </pivotFields>
  <rowFields count="1">
    <field x="57"/>
  </rowFields>
  <rowItems count="3">
    <i>
      <x/>
    </i>
    <i>
      <x v="1"/>
    </i>
    <i t="grand">
      <x/>
    </i>
  </rowItems>
  <colItems count="1">
    <i/>
  </colItems>
  <pageFields count="1">
    <pageField fld="7" hier="-1"/>
  </pageFields>
  <dataFields count="1">
    <dataField name="Sum of Net Dwellings" fld="40" baseField="0" baseItem="0"/>
  </dataFields>
  <formats count="26">
    <format dxfId="523">
      <pivotArea type="all" dataOnly="0" outline="0" fieldPosition="0"/>
    </format>
    <format dxfId="522">
      <pivotArea type="all" dataOnly="0" outline="0" fieldPosition="0"/>
    </format>
    <format dxfId="521">
      <pivotArea type="all" dataOnly="0" outline="0" fieldPosition="0"/>
    </format>
    <format dxfId="520">
      <pivotArea type="all" dataOnly="0" outline="0" fieldPosition="0"/>
    </format>
    <format dxfId="519">
      <pivotArea type="all" dataOnly="0" outline="0" fieldPosition="0"/>
    </format>
    <format dxfId="518">
      <pivotArea type="all" dataOnly="0" outline="0" fieldPosition="0"/>
    </format>
    <format dxfId="517">
      <pivotArea type="all" dataOnly="0" outline="0" fieldPosition="0"/>
    </format>
    <format dxfId="516">
      <pivotArea type="all" dataOnly="0" outline="0" fieldPosition="0"/>
    </format>
    <format dxfId="515">
      <pivotArea type="all" dataOnly="0" outline="0" fieldPosition="0"/>
    </format>
    <format dxfId="514">
      <pivotArea type="all" dataOnly="0" outline="0" fieldPosition="0"/>
    </format>
    <format dxfId="513">
      <pivotArea type="all" dataOnly="0" outline="0" fieldPosition="0"/>
    </format>
    <format dxfId="512">
      <pivotArea outline="0" collapsedLevelsAreSubtotals="1" fieldPosition="0"/>
    </format>
    <format dxfId="511">
      <pivotArea dataOnly="0" labelOnly="1" grandRow="1" outline="0" fieldPosition="0"/>
    </format>
    <format dxfId="510">
      <pivotArea dataOnly="0" labelOnly="1" outline="0" axis="axisValues" fieldPosition="0"/>
    </format>
    <format dxfId="509">
      <pivotArea type="all" dataOnly="0" outline="0" fieldPosition="0"/>
    </format>
    <format dxfId="508">
      <pivotArea outline="0" collapsedLevelsAreSubtotals="1" fieldPosition="0"/>
    </format>
    <format dxfId="507">
      <pivotArea field="57" type="button" dataOnly="0" labelOnly="1" outline="0" axis="axisRow" fieldPosition="0"/>
    </format>
    <format dxfId="506">
      <pivotArea dataOnly="0" labelOnly="1" fieldPosition="0">
        <references count="1">
          <reference field="57" count="0"/>
        </references>
      </pivotArea>
    </format>
    <format dxfId="505">
      <pivotArea dataOnly="0" labelOnly="1" grandRow="1" outline="0" fieldPosition="0"/>
    </format>
    <format dxfId="504">
      <pivotArea dataOnly="0" labelOnly="1" outline="0" axis="axisValues" fieldPosition="0"/>
    </format>
    <format dxfId="503">
      <pivotArea type="all" dataOnly="0" outline="0" fieldPosition="0"/>
    </format>
    <format dxfId="502">
      <pivotArea outline="0" collapsedLevelsAreSubtotals="1" fieldPosition="0"/>
    </format>
    <format dxfId="501">
      <pivotArea field="57" type="button" dataOnly="0" labelOnly="1" outline="0" axis="axisRow" fieldPosition="0"/>
    </format>
    <format dxfId="500">
      <pivotArea dataOnly="0" labelOnly="1" fieldPosition="0">
        <references count="1">
          <reference field="57" count="0"/>
        </references>
      </pivotArea>
    </format>
    <format dxfId="499">
      <pivotArea dataOnly="0" labelOnly="1" grandRow="1" outline="0" fieldPosition="0"/>
    </format>
    <format dxfId="4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A455B47-3B72-46C7-90E8-7CE0BD01F56E}" name="PivotTable63"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64:B165"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type="all" dataOnly="0" outline="0" fieldPosition="0"/>
    </format>
    <format dxfId="50">
      <pivotArea type="all" dataOnly="0" outline="0" fieldPosition="0"/>
    </format>
    <format dxfId="49">
      <pivotArea type="all" dataOnly="0" outline="0" fieldPosition="0"/>
    </format>
    <format dxfId="48">
      <pivotArea type="all" dataOnly="0" outline="0" fieldPosition="0"/>
    </format>
    <format dxfId="47">
      <pivotArea type="all" dataOnly="0" outline="0" fieldPosition="0"/>
    </format>
    <format dxfId="46">
      <pivotArea type="all" dataOnly="0" outline="0"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type="all" dataOnly="0" outline="0" fieldPosition="0"/>
    </format>
    <format dxfId="41">
      <pivotArea outline="0" collapsedLevelsAreSubtotals="1" fieldPosition="0"/>
    </format>
    <format dxfId="40">
      <pivotArea dataOnly="0" labelOnly="1" outline="0" axis="axisValues" fieldPosition="0"/>
    </format>
    <format dxfId="39">
      <pivotArea type="all" dataOnly="0" outline="0" fieldPosition="0"/>
    </format>
    <format dxfId="38">
      <pivotArea outline="0" collapsedLevelsAreSubtotals="1" fieldPosition="0"/>
    </format>
    <format dxfId="37">
      <pivotArea dataOnly="0" labelOnly="1" outline="0" axis="axisValues" fieldPosition="0"/>
    </format>
    <format dxfId="36">
      <pivotArea type="all" dataOnly="0" outline="0" fieldPosition="0"/>
    </format>
    <format dxfId="35">
      <pivotArea outline="0" collapsedLevelsAreSubtotals="1" fieldPosition="0"/>
    </format>
    <format dxfId="34">
      <pivotArea dataOnly="0" labelOnly="1" outline="0" axis="axisValues"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type="all" dataOnly="0" outline="0" fieldPosition="0"/>
    </format>
    <format dxfId="29">
      <pivotArea outline="0" collapsedLevelsAreSubtotals="1" fieldPosition="0"/>
    </format>
    <format dxfId="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508C31BF-F89E-4135-9779-4DF5E1B5C369}" name="PivotTable18"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80:E81"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8">
    <format dxfId="551">
      <pivotArea type="all" dataOnly="0" outline="0" fieldPosition="0"/>
    </format>
    <format dxfId="550">
      <pivotArea type="all" dataOnly="0" outline="0" fieldPosition="0"/>
    </format>
    <format dxfId="549">
      <pivotArea type="all" dataOnly="0" outline="0" fieldPosition="0"/>
    </format>
    <format dxfId="548">
      <pivotArea type="all" dataOnly="0" outline="0" fieldPosition="0"/>
    </format>
    <format dxfId="547">
      <pivotArea type="all" dataOnly="0" outline="0" fieldPosition="0"/>
    </format>
    <format dxfId="546">
      <pivotArea type="all" dataOnly="0" outline="0" fieldPosition="0"/>
    </format>
    <format dxfId="545">
      <pivotArea type="all" dataOnly="0" outline="0" fieldPosition="0"/>
    </format>
    <format dxfId="544">
      <pivotArea type="all" dataOnly="0" outline="0" fieldPosition="0"/>
    </format>
    <format dxfId="543">
      <pivotArea type="all" dataOnly="0" outline="0" fieldPosition="0"/>
    </format>
    <format dxfId="542">
      <pivotArea type="all" dataOnly="0" outline="0" fieldPosition="0"/>
    </format>
    <format dxfId="541">
      <pivotArea type="all" dataOnly="0" outline="0" fieldPosition="0"/>
    </format>
    <format dxfId="540">
      <pivotArea outline="0" collapsedLevelsAreSubtotals="1" fieldPosition="0"/>
    </format>
    <format dxfId="539">
      <pivotArea dataOnly="0" labelOnly="1" outline="0" axis="axisValues" fieldPosition="0"/>
    </format>
    <format dxfId="538">
      <pivotArea type="all" dataOnly="0" outline="0" fieldPosition="0"/>
    </format>
    <format dxfId="537">
      <pivotArea outline="0" collapsedLevelsAreSubtotals="1" fieldPosition="0"/>
    </format>
    <format dxfId="536">
      <pivotArea dataOnly="0" labelOnly="1" outline="0" axis="axisValues" fieldPosition="0"/>
    </format>
    <format dxfId="535">
      <pivotArea type="all" dataOnly="0" outline="0" fieldPosition="0"/>
    </format>
    <format dxfId="534">
      <pivotArea outline="0" collapsedLevelsAreSubtotals="1" fieldPosition="0"/>
    </format>
    <format dxfId="533">
      <pivotArea dataOnly="0" labelOnly="1" outline="0" axis="axisValues" fieldPosition="0"/>
    </format>
    <format dxfId="532">
      <pivotArea type="all" dataOnly="0" outline="0" fieldPosition="0"/>
    </format>
    <format dxfId="531">
      <pivotArea outline="0" collapsedLevelsAreSubtotals="1" fieldPosition="0"/>
    </format>
    <format dxfId="530">
      <pivotArea dataOnly="0" labelOnly="1" outline="0" axis="axisValues" fieldPosition="0"/>
    </format>
    <format dxfId="529">
      <pivotArea type="all" dataOnly="0" outline="0" fieldPosition="0"/>
    </format>
    <format dxfId="528">
      <pivotArea outline="0" collapsedLevelsAreSubtotals="1" fieldPosition="0"/>
    </format>
    <format dxfId="527">
      <pivotArea dataOnly="0" labelOnly="1" outline="0" axis="axisValues" fieldPosition="0"/>
    </format>
    <format dxfId="526">
      <pivotArea type="all" dataOnly="0" outline="0" fieldPosition="0"/>
    </format>
    <format dxfId="525">
      <pivotArea outline="0" collapsedLevelsAreSubtotals="1" fieldPosition="0"/>
    </format>
    <format dxfId="5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D4F2A937-577C-472A-98CE-5B9ACE91DB1B}" name="PivotTable54"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33:B13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x="1"/>
        <item h="1" x="2"/>
        <item h="1" x="0"/>
        <item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579">
      <pivotArea type="all" dataOnly="0" outline="0" fieldPosition="0"/>
    </format>
    <format dxfId="578">
      <pivotArea type="all" dataOnly="0" outline="0" fieldPosition="0"/>
    </format>
    <format dxfId="577">
      <pivotArea type="all" dataOnly="0" outline="0" fieldPosition="0"/>
    </format>
    <format dxfId="576">
      <pivotArea type="all" dataOnly="0" outline="0" fieldPosition="0"/>
    </format>
    <format dxfId="575">
      <pivotArea type="all" dataOnly="0" outline="0" fieldPosition="0"/>
    </format>
    <format dxfId="574">
      <pivotArea type="all" dataOnly="0" outline="0" fieldPosition="0"/>
    </format>
    <format dxfId="573">
      <pivotArea type="all" dataOnly="0" outline="0" fieldPosition="0"/>
    </format>
    <format dxfId="572">
      <pivotArea type="all" dataOnly="0" outline="0" fieldPosition="0"/>
    </format>
    <format dxfId="571">
      <pivotArea type="all" dataOnly="0" outline="0" fieldPosition="0"/>
    </format>
    <format dxfId="570">
      <pivotArea type="all" dataOnly="0" outline="0" fieldPosition="0"/>
    </format>
    <format dxfId="569">
      <pivotArea type="all" dataOnly="0" outline="0" fieldPosition="0"/>
    </format>
    <format dxfId="568">
      <pivotArea outline="0" collapsedLevelsAreSubtotals="1" fieldPosition="0"/>
    </format>
    <format dxfId="567">
      <pivotArea dataOnly="0" labelOnly="1" outline="0" axis="axisValues" fieldPosition="0"/>
    </format>
    <format dxfId="566">
      <pivotArea type="all" dataOnly="0" outline="0" fieldPosition="0"/>
    </format>
    <format dxfId="565">
      <pivotArea outline="0" collapsedLevelsAreSubtotals="1" fieldPosition="0"/>
    </format>
    <format dxfId="564">
      <pivotArea dataOnly="0" labelOnly="1" outline="0" axis="axisValues" fieldPosition="0"/>
    </format>
    <format dxfId="563">
      <pivotArea type="all" dataOnly="0" outline="0" fieldPosition="0"/>
    </format>
    <format dxfId="562">
      <pivotArea outline="0" collapsedLevelsAreSubtotals="1" fieldPosition="0"/>
    </format>
    <format dxfId="561">
      <pivotArea dataOnly="0" labelOnly="1" outline="0" axis="axisValues" fieldPosition="0"/>
    </format>
    <format dxfId="560">
      <pivotArea type="all" dataOnly="0" outline="0" fieldPosition="0"/>
    </format>
    <format dxfId="559">
      <pivotArea outline="0" collapsedLevelsAreSubtotals="1" fieldPosition="0"/>
    </format>
    <format dxfId="558">
      <pivotArea dataOnly="0" labelOnly="1" outline="0" axis="axisValues" fieldPosition="0"/>
    </format>
    <format dxfId="557">
      <pivotArea type="all" dataOnly="0" outline="0" fieldPosition="0"/>
    </format>
    <format dxfId="556">
      <pivotArea outline="0" collapsedLevelsAreSubtotals="1" fieldPosition="0"/>
    </format>
    <format dxfId="555">
      <pivotArea dataOnly="0" labelOnly="1" outline="0" axis="axisValues" fieldPosition="0"/>
    </format>
    <format dxfId="554">
      <pivotArea type="all" dataOnly="0" outline="0" fieldPosition="0"/>
    </format>
    <format dxfId="553">
      <pivotArea outline="0" collapsedLevelsAreSubtotals="1" fieldPosition="0"/>
    </format>
    <format dxfId="55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1402DC6-A053-4FA1-8BFA-B1D76B3D0836}" name="PivotTable57"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41:H14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607">
      <pivotArea type="all" dataOnly="0" outline="0" fieldPosition="0"/>
    </format>
    <format dxfId="606">
      <pivotArea type="all" dataOnly="0" outline="0" fieldPosition="0"/>
    </format>
    <format dxfId="605">
      <pivotArea type="all" dataOnly="0" outline="0" fieldPosition="0"/>
    </format>
    <format dxfId="604">
      <pivotArea type="all" dataOnly="0" outline="0" fieldPosition="0"/>
    </format>
    <format dxfId="603">
      <pivotArea type="all" dataOnly="0" outline="0" fieldPosition="0"/>
    </format>
    <format dxfId="602">
      <pivotArea type="all" dataOnly="0" outline="0" fieldPosition="0"/>
    </format>
    <format dxfId="601">
      <pivotArea type="all" dataOnly="0" outline="0" fieldPosition="0"/>
    </format>
    <format dxfId="600">
      <pivotArea type="all" dataOnly="0" outline="0" fieldPosition="0"/>
    </format>
    <format dxfId="599">
      <pivotArea type="all" dataOnly="0" outline="0" fieldPosition="0"/>
    </format>
    <format dxfId="598">
      <pivotArea type="all" dataOnly="0" outline="0" fieldPosition="0"/>
    </format>
    <format dxfId="597">
      <pivotArea type="all" dataOnly="0" outline="0" fieldPosition="0"/>
    </format>
    <format dxfId="596">
      <pivotArea outline="0" collapsedLevelsAreSubtotals="1" fieldPosition="0"/>
    </format>
    <format dxfId="595">
      <pivotArea dataOnly="0" labelOnly="1" outline="0" axis="axisValues" fieldPosition="0"/>
    </format>
    <format dxfId="594">
      <pivotArea type="all" dataOnly="0" outline="0" fieldPosition="0"/>
    </format>
    <format dxfId="593">
      <pivotArea outline="0" collapsedLevelsAreSubtotals="1" fieldPosition="0"/>
    </format>
    <format dxfId="592">
      <pivotArea dataOnly="0" labelOnly="1" outline="0" axis="axisValues" fieldPosition="0"/>
    </format>
    <format dxfId="591">
      <pivotArea type="all" dataOnly="0" outline="0" fieldPosition="0"/>
    </format>
    <format dxfId="590">
      <pivotArea outline="0" collapsedLevelsAreSubtotals="1" fieldPosition="0"/>
    </format>
    <format dxfId="589">
      <pivotArea dataOnly="0" labelOnly="1" outline="0" axis="axisValues" fieldPosition="0"/>
    </format>
    <format dxfId="588">
      <pivotArea type="all" dataOnly="0" outline="0" fieldPosition="0"/>
    </format>
    <format dxfId="587">
      <pivotArea outline="0" collapsedLevelsAreSubtotals="1" fieldPosition="0"/>
    </format>
    <format dxfId="586">
      <pivotArea dataOnly="0" labelOnly="1" outline="0" axis="axisValues" fieldPosition="0"/>
    </format>
    <format dxfId="585">
      <pivotArea type="all" dataOnly="0" outline="0" fieldPosition="0"/>
    </format>
    <format dxfId="584">
      <pivotArea outline="0" collapsedLevelsAreSubtotals="1" fieldPosition="0"/>
    </format>
    <format dxfId="583">
      <pivotArea dataOnly="0" labelOnly="1" outline="0" axis="axisValues" fieldPosition="0"/>
    </format>
    <format dxfId="582">
      <pivotArea type="all" dataOnly="0" outline="0" fieldPosition="0"/>
    </format>
    <format dxfId="581">
      <pivotArea outline="0" collapsedLevelsAreSubtotals="1" fieldPosition="0"/>
    </format>
    <format dxfId="5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393488D-B1D4-4F43-8C85-F6E91D339621}" name="PivotTable49"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99:E10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635">
      <pivotArea type="all" dataOnly="0" outline="0" fieldPosition="0"/>
    </format>
    <format dxfId="634">
      <pivotArea type="all" dataOnly="0" outline="0" fieldPosition="0"/>
    </format>
    <format dxfId="633">
      <pivotArea type="all" dataOnly="0" outline="0" fieldPosition="0"/>
    </format>
    <format dxfId="632">
      <pivotArea type="all" dataOnly="0" outline="0" fieldPosition="0"/>
    </format>
    <format dxfId="631">
      <pivotArea type="all" dataOnly="0" outline="0" fieldPosition="0"/>
    </format>
    <format dxfId="630">
      <pivotArea type="all" dataOnly="0" outline="0" fieldPosition="0"/>
    </format>
    <format dxfId="629">
      <pivotArea type="all" dataOnly="0" outline="0" fieldPosition="0"/>
    </format>
    <format dxfId="628">
      <pivotArea type="all" dataOnly="0" outline="0" fieldPosition="0"/>
    </format>
    <format dxfId="627">
      <pivotArea type="all" dataOnly="0" outline="0" fieldPosition="0"/>
    </format>
    <format dxfId="626">
      <pivotArea type="all" dataOnly="0" outline="0" fieldPosition="0"/>
    </format>
    <format dxfId="625">
      <pivotArea type="all" dataOnly="0" outline="0" fieldPosition="0"/>
    </format>
    <format dxfId="624">
      <pivotArea outline="0" collapsedLevelsAreSubtotals="1" fieldPosition="0"/>
    </format>
    <format dxfId="623">
      <pivotArea dataOnly="0" labelOnly="1" outline="0" axis="axisValues" fieldPosition="0"/>
    </format>
    <format dxfId="622">
      <pivotArea type="all" dataOnly="0" outline="0" fieldPosition="0"/>
    </format>
    <format dxfId="621">
      <pivotArea outline="0" collapsedLevelsAreSubtotals="1" fieldPosition="0"/>
    </format>
    <format dxfId="620">
      <pivotArea dataOnly="0" labelOnly="1" outline="0" axis="axisValues" fieldPosition="0"/>
    </format>
    <format dxfId="619">
      <pivotArea type="all" dataOnly="0" outline="0" fieldPosition="0"/>
    </format>
    <format dxfId="618">
      <pivotArea outline="0" collapsedLevelsAreSubtotals="1" fieldPosition="0"/>
    </format>
    <format dxfId="617">
      <pivotArea dataOnly="0" labelOnly="1" outline="0" axis="axisValues" fieldPosition="0"/>
    </format>
    <format dxfId="616">
      <pivotArea type="all" dataOnly="0" outline="0" fieldPosition="0"/>
    </format>
    <format dxfId="615">
      <pivotArea outline="0" collapsedLevelsAreSubtotals="1" fieldPosition="0"/>
    </format>
    <format dxfId="614">
      <pivotArea dataOnly="0" labelOnly="1" outline="0" axis="axisValues" fieldPosition="0"/>
    </format>
    <format dxfId="613">
      <pivotArea type="all" dataOnly="0" outline="0" fieldPosition="0"/>
    </format>
    <format dxfId="612">
      <pivotArea outline="0" collapsedLevelsAreSubtotals="1" fieldPosition="0"/>
    </format>
    <format dxfId="611">
      <pivotArea dataOnly="0" labelOnly="1" outline="0" axis="axisValues" fieldPosition="0"/>
    </format>
    <format dxfId="610">
      <pivotArea type="all" dataOnly="0" outline="0" fieldPosition="0"/>
    </format>
    <format dxfId="609">
      <pivotArea outline="0" collapsedLevelsAreSubtotals="1" fieldPosition="0"/>
    </format>
    <format dxfId="60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92546FD1-0D2A-4E00-945B-5823902B8EDC}" name="PivotTable33"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47:F250" firstHeaderRow="1" firstDataRow="1" firstDataCol="1" rowPageCount="1" colPageCount="1"/>
  <pivotFields count="6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4">
        <item x="0"/>
        <item h="1" x="1"/>
        <item h="1" x="2"/>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showAll="0">
      <items count="3">
        <item x="1"/>
        <item x="0"/>
        <item t="default"/>
      </items>
    </pivotField>
    <pivotField showAll="0"/>
    <pivotField showAll="0"/>
    <pivotField showAll="0"/>
    <pivotField showAll="0"/>
    <pivotField axis="axisRow" showAll="0">
      <items count="3">
        <item x="0"/>
        <item x="1"/>
        <item t="default"/>
      </items>
    </pivotField>
    <pivotField showAll="0"/>
  </pivotFields>
  <rowFields count="1">
    <field x="64"/>
  </rowFields>
  <rowItems count="3">
    <i>
      <x/>
    </i>
    <i>
      <x v="1"/>
    </i>
    <i t="grand">
      <x/>
    </i>
  </rowItems>
  <colItems count="1">
    <i/>
  </colItems>
  <pageFields count="1">
    <pageField fld="7" hier="-1"/>
  </pageFields>
  <dataFields count="1">
    <dataField name="Sum of Net Dwellings" fld="40" baseField="0" baseItem="0"/>
  </dataFields>
  <formats count="26">
    <format dxfId="661">
      <pivotArea type="all" dataOnly="0" outline="0" fieldPosition="0"/>
    </format>
    <format dxfId="660">
      <pivotArea type="all" dataOnly="0" outline="0" fieldPosition="0"/>
    </format>
    <format dxfId="659">
      <pivotArea type="all" dataOnly="0" outline="0" fieldPosition="0"/>
    </format>
    <format dxfId="658">
      <pivotArea type="all" dataOnly="0" outline="0" fieldPosition="0"/>
    </format>
    <format dxfId="657">
      <pivotArea type="all" dataOnly="0" outline="0" fieldPosition="0"/>
    </format>
    <format dxfId="656">
      <pivotArea type="all" dataOnly="0" outline="0" fieldPosition="0"/>
    </format>
    <format dxfId="655">
      <pivotArea type="all" dataOnly="0" outline="0" fieldPosition="0"/>
    </format>
    <format dxfId="654">
      <pivotArea type="all" dataOnly="0" outline="0" fieldPosition="0"/>
    </format>
    <format dxfId="653">
      <pivotArea type="all" dataOnly="0" outline="0" fieldPosition="0"/>
    </format>
    <format dxfId="652">
      <pivotArea type="all" dataOnly="0" outline="0" fieldPosition="0"/>
    </format>
    <format dxfId="651">
      <pivotArea type="all" dataOnly="0" outline="0" fieldPosition="0"/>
    </format>
    <format dxfId="650">
      <pivotArea outline="0" collapsedLevelsAreSubtotals="1" fieldPosition="0"/>
    </format>
    <format dxfId="649">
      <pivotArea dataOnly="0" labelOnly="1" grandRow="1" outline="0" fieldPosition="0"/>
    </format>
    <format dxfId="648">
      <pivotArea dataOnly="0" labelOnly="1" outline="0" axis="axisValues" fieldPosition="0"/>
    </format>
    <format dxfId="647">
      <pivotArea type="all" dataOnly="0" outline="0" fieldPosition="0"/>
    </format>
    <format dxfId="646">
      <pivotArea outline="0" collapsedLevelsAreSubtotals="1" fieldPosition="0"/>
    </format>
    <format dxfId="645">
      <pivotArea field="64" type="button" dataOnly="0" labelOnly="1" outline="0" axis="axisRow" fieldPosition="0"/>
    </format>
    <format dxfId="644">
      <pivotArea dataOnly="0" labelOnly="1" fieldPosition="0">
        <references count="1">
          <reference field="64" count="0"/>
        </references>
      </pivotArea>
    </format>
    <format dxfId="643">
      <pivotArea dataOnly="0" labelOnly="1" grandRow="1" outline="0" fieldPosition="0"/>
    </format>
    <format dxfId="642">
      <pivotArea dataOnly="0" labelOnly="1" outline="0" axis="axisValues" fieldPosition="0"/>
    </format>
    <format dxfId="641">
      <pivotArea type="all" dataOnly="0" outline="0" fieldPosition="0"/>
    </format>
    <format dxfId="640">
      <pivotArea outline="0" collapsedLevelsAreSubtotals="1" fieldPosition="0"/>
    </format>
    <format dxfId="639">
      <pivotArea field="64" type="button" dataOnly="0" labelOnly="1" outline="0" axis="axisRow" fieldPosition="0"/>
    </format>
    <format dxfId="638">
      <pivotArea dataOnly="0" labelOnly="1" fieldPosition="0">
        <references count="1">
          <reference field="64" count="0"/>
        </references>
      </pivotArea>
    </format>
    <format dxfId="637">
      <pivotArea dataOnly="0" labelOnly="1" grandRow="1" outline="0" fieldPosition="0"/>
    </format>
    <format dxfId="6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B551F3D-11B2-42BC-A029-2D5F6F0C0D68}" name="PivotTable74"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82:H18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689">
      <pivotArea type="all" dataOnly="0" outline="0" fieldPosition="0"/>
    </format>
    <format dxfId="688">
      <pivotArea type="all" dataOnly="0" outline="0" fieldPosition="0"/>
    </format>
    <format dxfId="687">
      <pivotArea type="all" dataOnly="0" outline="0" fieldPosition="0"/>
    </format>
    <format dxfId="686">
      <pivotArea type="all" dataOnly="0" outline="0" fieldPosition="0"/>
    </format>
    <format dxfId="685">
      <pivotArea type="all" dataOnly="0" outline="0" fieldPosition="0"/>
    </format>
    <format dxfId="684">
      <pivotArea type="all" dataOnly="0" outline="0" fieldPosition="0"/>
    </format>
    <format dxfId="683">
      <pivotArea type="all" dataOnly="0" outline="0" fieldPosition="0"/>
    </format>
    <format dxfId="682">
      <pivotArea type="all" dataOnly="0" outline="0" fieldPosition="0"/>
    </format>
    <format dxfId="681">
      <pivotArea type="all" dataOnly="0" outline="0" fieldPosition="0"/>
    </format>
    <format dxfId="680">
      <pivotArea type="all" dataOnly="0" outline="0" fieldPosition="0"/>
    </format>
    <format dxfId="679">
      <pivotArea type="all" dataOnly="0" outline="0" fieldPosition="0"/>
    </format>
    <format dxfId="678">
      <pivotArea outline="0" collapsedLevelsAreSubtotals="1" fieldPosition="0"/>
    </format>
    <format dxfId="677">
      <pivotArea dataOnly="0" labelOnly="1" outline="0" axis="axisValues" fieldPosition="0"/>
    </format>
    <format dxfId="676">
      <pivotArea type="all" dataOnly="0" outline="0" fieldPosition="0"/>
    </format>
    <format dxfId="675">
      <pivotArea outline="0" collapsedLevelsAreSubtotals="1" fieldPosition="0"/>
    </format>
    <format dxfId="674">
      <pivotArea dataOnly="0" labelOnly="1" outline="0" axis="axisValues" fieldPosition="0"/>
    </format>
    <format dxfId="673">
      <pivotArea type="all" dataOnly="0" outline="0" fieldPosition="0"/>
    </format>
    <format dxfId="672">
      <pivotArea outline="0" collapsedLevelsAreSubtotals="1" fieldPosition="0"/>
    </format>
    <format dxfId="671">
      <pivotArea dataOnly="0" labelOnly="1" outline="0" axis="axisValues" fieldPosition="0"/>
    </format>
    <format dxfId="670">
      <pivotArea type="all" dataOnly="0" outline="0" fieldPosition="0"/>
    </format>
    <format dxfId="669">
      <pivotArea outline="0" collapsedLevelsAreSubtotals="1" fieldPosition="0"/>
    </format>
    <format dxfId="668">
      <pivotArea dataOnly="0" labelOnly="1" outline="0" axis="axisValues" fieldPosition="0"/>
    </format>
    <format dxfId="667">
      <pivotArea type="all" dataOnly="0" outline="0" fieldPosition="0"/>
    </format>
    <format dxfId="666">
      <pivotArea outline="0" collapsedLevelsAreSubtotals="1" fieldPosition="0"/>
    </format>
    <format dxfId="665">
      <pivotArea dataOnly="0" labelOnly="1" outline="0" axis="axisValues" fieldPosition="0"/>
    </format>
    <format dxfId="664">
      <pivotArea type="all" dataOnly="0" outline="0" fieldPosition="0"/>
    </format>
    <format dxfId="663">
      <pivotArea outline="0" collapsedLevelsAreSubtotals="1" fieldPosition="0"/>
    </format>
    <format dxfId="66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EDAB1511-CE91-46DE-9642-4FFB405E86F5}" name="PivotTable44"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07:B10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x="1"/>
        <item h="1"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717">
      <pivotArea type="all" dataOnly="0" outline="0" fieldPosition="0"/>
    </format>
    <format dxfId="716">
      <pivotArea type="all" dataOnly="0" outline="0" fieldPosition="0"/>
    </format>
    <format dxfId="715">
      <pivotArea type="all" dataOnly="0" outline="0" fieldPosition="0"/>
    </format>
    <format dxfId="714">
      <pivotArea type="all" dataOnly="0" outline="0" fieldPosition="0"/>
    </format>
    <format dxfId="713">
      <pivotArea type="all" dataOnly="0" outline="0" fieldPosition="0"/>
    </format>
    <format dxfId="712">
      <pivotArea type="all" dataOnly="0" outline="0" fieldPosition="0"/>
    </format>
    <format dxfId="711">
      <pivotArea type="all" dataOnly="0" outline="0" fieldPosition="0"/>
    </format>
    <format dxfId="710">
      <pivotArea type="all" dataOnly="0" outline="0" fieldPosition="0"/>
    </format>
    <format dxfId="709">
      <pivotArea type="all" dataOnly="0" outline="0" fieldPosition="0"/>
    </format>
    <format dxfId="708">
      <pivotArea type="all" dataOnly="0" outline="0" fieldPosition="0"/>
    </format>
    <format dxfId="707">
      <pivotArea type="all" dataOnly="0" outline="0" fieldPosition="0"/>
    </format>
    <format dxfId="706">
      <pivotArea outline="0" collapsedLevelsAreSubtotals="1" fieldPosition="0"/>
    </format>
    <format dxfId="705">
      <pivotArea dataOnly="0" labelOnly="1" outline="0" axis="axisValues" fieldPosition="0"/>
    </format>
    <format dxfId="704">
      <pivotArea type="all" dataOnly="0" outline="0" fieldPosition="0"/>
    </format>
    <format dxfId="703">
      <pivotArea outline="0" collapsedLevelsAreSubtotals="1" fieldPosition="0"/>
    </format>
    <format dxfId="702">
      <pivotArea dataOnly="0" labelOnly="1" outline="0" axis="axisValues" fieldPosition="0"/>
    </format>
    <format dxfId="701">
      <pivotArea type="all" dataOnly="0" outline="0" fieldPosition="0"/>
    </format>
    <format dxfId="700">
      <pivotArea outline="0" collapsedLevelsAreSubtotals="1" fieldPosition="0"/>
    </format>
    <format dxfId="699">
      <pivotArea dataOnly="0" labelOnly="1" outline="0" axis="axisValues" fieldPosition="0"/>
    </format>
    <format dxfId="698">
      <pivotArea type="all" dataOnly="0" outline="0" fieldPosition="0"/>
    </format>
    <format dxfId="697">
      <pivotArea outline="0" collapsedLevelsAreSubtotals="1" fieldPosition="0"/>
    </format>
    <format dxfId="696">
      <pivotArea dataOnly="0" labelOnly="1" outline="0" axis="axisValues" fieldPosition="0"/>
    </format>
    <format dxfId="695">
      <pivotArea type="all" dataOnly="0" outline="0" fieldPosition="0"/>
    </format>
    <format dxfId="694">
      <pivotArea outline="0" collapsedLevelsAreSubtotals="1" fieldPosition="0"/>
    </format>
    <format dxfId="693">
      <pivotArea dataOnly="0" labelOnly="1" outline="0" axis="axisValues" fieldPosition="0"/>
    </format>
    <format dxfId="692">
      <pivotArea type="all" dataOnly="0" outline="0" fieldPosition="0"/>
    </format>
    <format dxfId="691">
      <pivotArea outline="0" collapsedLevelsAreSubtotals="1" fieldPosition="0"/>
    </format>
    <format dxfId="69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D0745B0E-0270-4E2A-9C06-CF2BB7F48D14}" name="PivotTable22"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22:B223" firstHeaderRow="1" firstDataRow="1" firstDataCol="0" rowPageCount="3" colPageCount="1"/>
  <pivotFields count="57">
    <pivotField showAll="0" defaultSubtotal="0"/>
    <pivotField axis="axisPage" multipleItemSelectionAllowed="1" showAll="0" defaultSubtotal="0">
      <items count="6">
        <item x="1"/>
        <item x="2"/>
        <item x="4"/>
        <item h="1" x="3"/>
        <item h="1"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x="1"/>
        <item x="2"/>
        <item x="0"/>
        <item m="1" x="6"/>
        <item x="3"/>
        <item m="1" x="7"/>
        <item m="1" x="5"/>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745">
      <pivotArea type="all" dataOnly="0" outline="0" fieldPosition="0"/>
    </format>
    <format dxfId="744">
      <pivotArea type="all" dataOnly="0" outline="0" fieldPosition="0"/>
    </format>
    <format dxfId="743">
      <pivotArea type="all" dataOnly="0" outline="0" fieldPosition="0"/>
    </format>
    <format dxfId="742">
      <pivotArea type="all" dataOnly="0" outline="0" fieldPosition="0"/>
    </format>
    <format dxfId="741">
      <pivotArea type="all" dataOnly="0" outline="0" fieldPosition="0"/>
    </format>
    <format dxfId="740">
      <pivotArea type="all" dataOnly="0" outline="0" fieldPosition="0"/>
    </format>
    <format dxfId="739">
      <pivotArea type="all" dataOnly="0" outline="0" fieldPosition="0"/>
    </format>
    <format dxfId="738">
      <pivotArea type="all" dataOnly="0" outline="0" fieldPosition="0"/>
    </format>
    <format dxfId="737">
      <pivotArea type="all" dataOnly="0" outline="0" fieldPosition="0"/>
    </format>
    <format dxfId="736">
      <pivotArea type="all" dataOnly="0" outline="0" fieldPosition="0"/>
    </format>
    <format dxfId="735">
      <pivotArea type="all" dataOnly="0" outline="0" fieldPosition="0"/>
    </format>
    <format dxfId="734">
      <pivotArea outline="0" collapsedLevelsAreSubtotals="1" fieldPosition="0"/>
    </format>
    <format dxfId="733">
      <pivotArea dataOnly="0" labelOnly="1" outline="0" axis="axisValues" fieldPosition="0"/>
    </format>
    <format dxfId="732">
      <pivotArea type="all" dataOnly="0" outline="0" fieldPosition="0"/>
    </format>
    <format dxfId="731">
      <pivotArea outline="0" collapsedLevelsAreSubtotals="1" fieldPosition="0"/>
    </format>
    <format dxfId="730">
      <pivotArea dataOnly="0" labelOnly="1" outline="0" axis="axisValues" fieldPosition="0"/>
    </format>
    <format dxfId="729">
      <pivotArea type="all" dataOnly="0" outline="0" fieldPosition="0"/>
    </format>
    <format dxfId="728">
      <pivotArea outline="0" collapsedLevelsAreSubtotals="1" fieldPosition="0"/>
    </format>
    <format dxfId="727">
      <pivotArea dataOnly="0" labelOnly="1" outline="0" axis="axisValues" fieldPosition="0"/>
    </format>
    <format dxfId="726">
      <pivotArea type="all" dataOnly="0" outline="0" fieldPosition="0"/>
    </format>
    <format dxfId="725">
      <pivotArea outline="0" collapsedLevelsAreSubtotals="1" fieldPosition="0"/>
    </format>
    <format dxfId="724">
      <pivotArea dataOnly="0" labelOnly="1" outline="0" axis="axisValues" fieldPosition="0"/>
    </format>
    <format dxfId="723">
      <pivotArea type="all" dataOnly="0" outline="0" fieldPosition="0"/>
    </format>
    <format dxfId="722">
      <pivotArea outline="0" collapsedLevelsAreSubtotals="1" fieldPosition="0"/>
    </format>
    <format dxfId="721">
      <pivotArea dataOnly="0" labelOnly="1" outline="0" axis="axisValues" fieldPosition="0"/>
    </format>
    <format dxfId="720">
      <pivotArea type="all" dataOnly="0" outline="0" fieldPosition="0"/>
    </format>
    <format dxfId="719">
      <pivotArea outline="0" collapsedLevelsAreSubtotals="1" fieldPosition="0"/>
    </format>
    <format dxfId="7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4E288155-55A8-4489-B649-F7DFB1E144BA}" name="PivotTable56"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33:E13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x="1"/>
        <item h="1" x="2"/>
        <item h="1" x="0"/>
        <item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773">
      <pivotArea type="all" dataOnly="0" outline="0" fieldPosition="0"/>
    </format>
    <format dxfId="772">
      <pivotArea type="all" dataOnly="0" outline="0" fieldPosition="0"/>
    </format>
    <format dxfId="771">
      <pivotArea type="all" dataOnly="0" outline="0" fieldPosition="0"/>
    </format>
    <format dxfId="770">
      <pivotArea type="all" dataOnly="0" outline="0" fieldPosition="0"/>
    </format>
    <format dxfId="769">
      <pivotArea type="all" dataOnly="0" outline="0" fieldPosition="0"/>
    </format>
    <format dxfId="768">
      <pivotArea type="all" dataOnly="0" outline="0" fieldPosition="0"/>
    </format>
    <format dxfId="767">
      <pivotArea type="all" dataOnly="0" outline="0" fieldPosition="0"/>
    </format>
    <format dxfId="766">
      <pivotArea type="all" dataOnly="0" outline="0" fieldPosition="0"/>
    </format>
    <format dxfId="765">
      <pivotArea type="all" dataOnly="0" outline="0" fieldPosition="0"/>
    </format>
    <format dxfId="764">
      <pivotArea type="all" dataOnly="0" outline="0" fieldPosition="0"/>
    </format>
    <format dxfId="763">
      <pivotArea type="all" dataOnly="0" outline="0" fieldPosition="0"/>
    </format>
    <format dxfId="762">
      <pivotArea outline="0" collapsedLevelsAreSubtotals="1" fieldPosition="0"/>
    </format>
    <format dxfId="761">
      <pivotArea dataOnly="0" labelOnly="1" outline="0" axis="axisValues" fieldPosition="0"/>
    </format>
    <format dxfId="760">
      <pivotArea type="all" dataOnly="0" outline="0" fieldPosition="0"/>
    </format>
    <format dxfId="759">
      <pivotArea outline="0" collapsedLevelsAreSubtotals="1" fieldPosition="0"/>
    </format>
    <format dxfId="758">
      <pivotArea dataOnly="0" labelOnly="1" outline="0" axis="axisValues" fieldPosition="0"/>
    </format>
    <format dxfId="757">
      <pivotArea type="all" dataOnly="0" outline="0" fieldPosition="0"/>
    </format>
    <format dxfId="756">
      <pivotArea outline="0" collapsedLevelsAreSubtotals="1" fieldPosition="0"/>
    </format>
    <format dxfId="755">
      <pivotArea dataOnly="0" labelOnly="1" outline="0" axis="axisValues" fieldPosition="0"/>
    </format>
    <format dxfId="754">
      <pivotArea type="all" dataOnly="0" outline="0" fieldPosition="0"/>
    </format>
    <format dxfId="753">
      <pivotArea outline="0" collapsedLevelsAreSubtotals="1" fieldPosition="0"/>
    </format>
    <format dxfId="752">
      <pivotArea dataOnly="0" labelOnly="1" outline="0" axis="axisValues" fieldPosition="0"/>
    </format>
    <format dxfId="751">
      <pivotArea type="all" dataOnly="0" outline="0" fieldPosition="0"/>
    </format>
    <format dxfId="750">
      <pivotArea outline="0" collapsedLevelsAreSubtotals="1" fieldPosition="0"/>
    </format>
    <format dxfId="749">
      <pivotArea dataOnly="0" labelOnly="1" outline="0" axis="axisValues" fieldPosition="0"/>
    </format>
    <format dxfId="748">
      <pivotArea type="all" dataOnly="0" outline="0" fieldPosition="0"/>
    </format>
    <format dxfId="747">
      <pivotArea outline="0" collapsedLevelsAreSubtotals="1" fieldPosition="0"/>
    </format>
    <format dxfId="74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D389BDD-378F-4143-A411-0D8E292C3C16}" name="PivotTable29"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70:I289"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sortType="ascending" defaultSubtotal="0">
      <items count="19">
        <item x="17"/>
        <item x="7"/>
        <item x="11"/>
        <item x="15"/>
        <item x="8"/>
        <item x="16"/>
        <item x="3"/>
        <item x="14"/>
        <item x="9"/>
        <item x="6"/>
        <item x="18"/>
        <item x="12"/>
        <item x="4"/>
        <item x="5"/>
        <item x="1"/>
        <item x="0"/>
        <item x="10"/>
        <item x="2"/>
        <item x="13"/>
      </items>
    </pivotField>
  </pivotFields>
  <rowFields count="1">
    <field x="56"/>
  </rowFields>
  <rowItems count="19">
    <i>
      <x/>
    </i>
    <i>
      <x v="1"/>
    </i>
    <i>
      <x v="2"/>
    </i>
    <i>
      <x v="3"/>
    </i>
    <i>
      <x v="4"/>
    </i>
    <i>
      <x v="5"/>
    </i>
    <i>
      <x v="6"/>
    </i>
    <i>
      <x v="7"/>
    </i>
    <i>
      <x v="8"/>
    </i>
    <i>
      <x v="9"/>
    </i>
    <i>
      <x v="11"/>
    </i>
    <i>
      <x v="12"/>
    </i>
    <i>
      <x v="13"/>
    </i>
    <i>
      <x v="14"/>
    </i>
    <i>
      <x v="15"/>
    </i>
    <i>
      <x v="16"/>
    </i>
    <i>
      <x v="17"/>
    </i>
    <i>
      <x v="18"/>
    </i>
    <i t="grand">
      <x/>
    </i>
  </rowItems>
  <colItems count="1">
    <i/>
  </colItems>
  <pageFields count="1">
    <pageField fld="7" hier="-1"/>
  </pageFields>
  <dataFields count="1">
    <dataField name="Sum of Net Dwellings" fld="40" baseField="0" baseItem="0"/>
  </dataFields>
  <formats count="27">
    <format dxfId="800">
      <pivotArea type="all" dataOnly="0" outline="0" fieldPosition="0"/>
    </format>
    <format dxfId="799">
      <pivotArea type="all" dataOnly="0" outline="0" fieldPosition="0"/>
    </format>
    <format dxfId="798">
      <pivotArea type="all" dataOnly="0" outline="0" fieldPosition="0"/>
    </format>
    <format dxfId="797">
      <pivotArea type="all" dataOnly="0" outline="0" fieldPosition="0"/>
    </format>
    <format dxfId="796">
      <pivotArea type="all" dataOnly="0" outline="0" fieldPosition="0"/>
    </format>
    <format dxfId="795">
      <pivotArea type="all" dataOnly="0" outline="0" fieldPosition="0"/>
    </format>
    <format dxfId="794">
      <pivotArea type="all" dataOnly="0" outline="0" fieldPosition="0"/>
    </format>
    <format dxfId="793">
      <pivotArea type="all" dataOnly="0" outline="0" fieldPosition="0"/>
    </format>
    <format dxfId="792">
      <pivotArea type="all" dataOnly="0" outline="0" fieldPosition="0"/>
    </format>
    <format dxfId="791">
      <pivotArea type="all" dataOnly="0" outline="0" fieldPosition="0"/>
    </format>
    <format dxfId="790">
      <pivotArea type="all" dataOnly="0" outline="0" fieldPosition="0"/>
    </format>
    <format dxfId="789">
      <pivotArea outline="0" collapsedLevelsAreSubtotals="1" fieldPosition="0"/>
    </format>
    <format dxfId="788">
      <pivotArea field="56" type="button" dataOnly="0" labelOnly="1" outline="0" axis="axisRow" fieldPosition="0"/>
    </format>
    <format dxfId="787">
      <pivotArea dataOnly="0" labelOnly="1" grandRow="1" outline="0" fieldPosition="0"/>
    </format>
    <format dxfId="786">
      <pivotArea dataOnly="0" labelOnly="1" outline="0" axis="axisValues" fieldPosition="0"/>
    </format>
    <format dxfId="785">
      <pivotArea type="all" dataOnly="0" outline="0" fieldPosition="0"/>
    </format>
    <format dxfId="784">
      <pivotArea outline="0" collapsedLevelsAreSubtotals="1" fieldPosition="0"/>
    </format>
    <format dxfId="783">
      <pivotArea field="56" type="button" dataOnly="0" labelOnly="1" outline="0" axis="axisRow" fieldPosition="0"/>
    </format>
    <format dxfId="782">
      <pivotArea dataOnly="0" labelOnly="1" fieldPosition="0">
        <references count="1">
          <reference field="56" count="18">
            <x v="0"/>
            <x v="1"/>
            <x v="2"/>
            <x v="3"/>
            <x v="4"/>
            <x v="5"/>
            <x v="6"/>
            <x v="7"/>
            <x v="8"/>
            <x v="9"/>
            <x v="11"/>
            <x v="12"/>
            <x v="13"/>
            <x v="14"/>
            <x v="15"/>
            <x v="16"/>
            <x v="17"/>
            <x v="18"/>
          </reference>
        </references>
      </pivotArea>
    </format>
    <format dxfId="781">
      <pivotArea dataOnly="0" labelOnly="1" grandRow="1" outline="0" fieldPosition="0"/>
    </format>
    <format dxfId="780">
      <pivotArea dataOnly="0" labelOnly="1" outline="0" axis="axisValues" fieldPosition="0"/>
    </format>
    <format dxfId="779">
      <pivotArea type="all" dataOnly="0" outline="0" fieldPosition="0"/>
    </format>
    <format dxfId="778">
      <pivotArea outline="0" collapsedLevelsAreSubtotals="1" fieldPosition="0"/>
    </format>
    <format dxfId="777">
      <pivotArea field="56" type="button" dataOnly="0" labelOnly="1" outline="0" axis="axisRow" fieldPosition="0"/>
    </format>
    <format dxfId="776">
      <pivotArea dataOnly="0" labelOnly="1" fieldPosition="0">
        <references count="1">
          <reference field="56" count="18">
            <x v="0"/>
            <x v="1"/>
            <x v="2"/>
            <x v="3"/>
            <x v="4"/>
            <x v="5"/>
            <x v="6"/>
            <x v="7"/>
            <x v="8"/>
            <x v="9"/>
            <x v="11"/>
            <x v="12"/>
            <x v="13"/>
            <x v="14"/>
            <x v="15"/>
            <x v="16"/>
            <x v="17"/>
            <x v="18"/>
          </reference>
        </references>
      </pivotArea>
    </format>
    <format dxfId="775">
      <pivotArea dataOnly="0" labelOnly="1" grandRow="1" outline="0" fieldPosition="0"/>
    </format>
    <format dxfId="7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9317D26-94ED-4536-A9B2-9260898F9A04}" name="PivotTable52"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25:H12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83">
      <pivotArea type="all" dataOnly="0" outline="0" fieldPosition="0"/>
    </format>
    <format dxfId="82">
      <pivotArea type="all" dataOnly="0" outline="0" fieldPosition="0"/>
    </format>
    <format dxfId="81">
      <pivotArea type="all" dataOnly="0" outline="0" fieldPosition="0"/>
    </format>
    <format dxfId="80">
      <pivotArea type="all" dataOnly="0" outline="0" fieldPosition="0"/>
    </format>
    <format dxfId="79">
      <pivotArea type="all" dataOnly="0" outline="0" fieldPosition="0"/>
    </format>
    <format dxfId="78">
      <pivotArea type="all" dataOnly="0" outline="0" fieldPosition="0"/>
    </format>
    <format dxfId="77">
      <pivotArea type="all" dataOnly="0" outline="0" fieldPosition="0"/>
    </format>
    <format dxfId="76">
      <pivotArea type="all" dataOnly="0" outline="0" fieldPosition="0"/>
    </format>
    <format dxfId="75">
      <pivotArea type="all" dataOnly="0" outline="0" fieldPosition="0"/>
    </format>
    <format dxfId="74">
      <pivotArea type="all" dataOnly="0" outline="0"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type="all" dataOnly="0" outline="0" fieldPosition="0"/>
    </format>
    <format dxfId="69">
      <pivotArea outline="0" collapsedLevelsAreSubtotals="1" fieldPosition="0"/>
    </format>
    <format dxfId="68">
      <pivotArea dataOnly="0" labelOnly="1" outline="0" axis="axisValues" fieldPosition="0"/>
    </format>
    <format dxfId="67">
      <pivotArea type="all" dataOnly="0" outline="0" fieldPosition="0"/>
    </format>
    <format dxfId="66">
      <pivotArea outline="0" collapsedLevelsAreSubtotals="1"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dataOnly="0" labelOnly="1" outline="0" axis="axisValues" fieldPosition="0"/>
    </format>
    <format dxfId="61">
      <pivotArea type="all" dataOnly="0" outline="0" fieldPosition="0"/>
    </format>
    <format dxfId="60">
      <pivotArea outline="0" collapsedLevelsAreSubtotals="1"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6D1EA871-9D22-4500-8B4F-6531B18BA8FE}" name="PivotTable6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01:B202"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x="1"/>
        <item h="1"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828">
      <pivotArea type="all" dataOnly="0" outline="0" fieldPosition="0"/>
    </format>
    <format dxfId="827">
      <pivotArea type="all" dataOnly="0" outline="0" fieldPosition="0"/>
    </format>
    <format dxfId="826">
      <pivotArea type="all" dataOnly="0" outline="0" fieldPosition="0"/>
    </format>
    <format dxfId="825">
      <pivotArea type="all" dataOnly="0" outline="0" fieldPosition="0"/>
    </format>
    <format dxfId="824">
      <pivotArea type="all" dataOnly="0" outline="0" fieldPosition="0"/>
    </format>
    <format dxfId="823">
      <pivotArea type="all" dataOnly="0" outline="0" fieldPosition="0"/>
    </format>
    <format dxfId="822">
      <pivotArea type="all" dataOnly="0" outline="0" fieldPosition="0"/>
    </format>
    <format dxfId="821">
      <pivotArea type="all" dataOnly="0" outline="0" fieldPosition="0"/>
    </format>
    <format dxfId="820">
      <pivotArea type="all" dataOnly="0" outline="0" fieldPosition="0"/>
    </format>
    <format dxfId="819">
      <pivotArea type="all" dataOnly="0" outline="0" fieldPosition="0"/>
    </format>
    <format dxfId="818">
      <pivotArea type="all" dataOnly="0" outline="0" fieldPosition="0"/>
    </format>
    <format dxfId="817">
      <pivotArea outline="0" collapsedLevelsAreSubtotals="1" fieldPosition="0"/>
    </format>
    <format dxfId="816">
      <pivotArea dataOnly="0" labelOnly="1" outline="0" axis="axisValues" fieldPosition="0"/>
    </format>
    <format dxfId="815">
      <pivotArea type="all" dataOnly="0" outline="0" fieldPosition="0"/>
    </format>
    <format dxfId="814">
      <pivotArea outline="0" collapsedLevelsAreSubtotals="1" fieldPosition="0"/>
    </format>
    <format dxfId="813">
      <pivotArea dataOnly="0" labelOnly="1" outline="0" axis="axisValues" fieldPosition="0"/>
    </format>
    <format dxfId="812">
      <pivotArea type="all" dataOnly="0" outline="0" fieldPosition="0"/>
    </format>
    <format dxfId="811">
      <pivotArea outline="0" collapsedLevelsAreSubtotals="1" fieldPosition="0"/>
    </format>
    <format dxfId="810">
      <pivotArea dataOnly="0" labelOnly="1" outline="0" axis="axisValues" fieldPosition="0"/>
    </format>
    <format dxfId="809">
      <pivotArea type="all" dataOnly="0" outline="0" fieldPosition="0"/>
    </format>
    <format dxfId="808">
      <pivotArea outline="0" collapsedLevelsAreSubtotals="1" fieldPosition="0"/>
    </format>
    <format dxfId="807">
      <pivotArea dataOnly="0" labelOnly="1" outline="0" axis="axisValues" fieldPosition="0"/>
    </format>
    <format dxfId="806">
      <pivotArea type="all" dataOnly="0" outline="0" fieldPosition="0"/>
    </format>
    <format dxfId="805">
      <pivotArea outline="0" collapsedLevelsAreSubtotals="1" fieldPosition="0"/>
    </format>
    <format dxfId="804">
      <pivotArea dataOnly="0" labelOnly="1" outline="0" axis="axisValues" fieldPosition="0"/>
    </format>
    <format dxfId="803">
      <pivotArea type="all" dataOnly="0" outline="0" fieldPosition="0"/>
    </format>
    <format dxfId="802">
      <pivotArea outline="0" collapsedLevelsAreSubtotals="1" fieldPosition="0"/>
    </format>
    <format dxfId="8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E55CBAAE-94F3-44E2-9A72-942B401081FF}" name="PivotTable50"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15:E11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856">
      <pivotArea type="all" dataOnly="0" outline="0" fieldPosition="0"/>
    </format>
    <format dxfId="855">
      <pivotArea type="all" dataOnly="0" outline="0" fieldPosition="0"/>
    </format>
    <format dxfId="854">
      <pivotArea type="all" dataOnly="0" outline="0" fieldPosition="0"/>
    </format>
    <format dxfId="853">
      <pivotArea type="all" dataOnly="0" outline="0" fieldPosition="0"/>
    </format>
    <format dxfId="852">
      <pivotArea type="all" dataOnly="0" outline="0" fieldPosition="0"/>
    </format>
    <format dxfId="851">
      <pivotArea type="all" dataOnly="0" outline="0" fieldPosition="0"/>
    </format>
    <format dxfId="850">
      <pivotArea type="all" dataOnly="0" outline="0" fieldPosition="0"/>
    </format>
    <format dxfId="849">
      <pivotArea type="all" dataOnly="0" outline="0" fieldPosition="0"/>
    </format>
    <format dxfId="848">
      <pivotArea type="all" dataOnly="0" outline="0" fieldPosition="0"/>
    </format>
    <format dxfId="847">
      <pivotArea type="all" dataOnly="0" outline="0" fieldPosition="0"/>
    </format>
    <format dxfId="846">
      <pivotArea type="all" dataOnly="0" outline="0" fieldPosition="0"/>
    </format>
    <format dxfId="845">
      <pivotArea outline="0" collapsedLevelsAreSubtotals="1" fieldPosition="0"/>
    </format>
    <format dxfId="844">
      <pivotArea dataOnly="0" labelOnly="1" outline="0" axis="axisValues" fieldPosition="0"/>
    </format>
    <format dxfId="843">
      <pivotArea type="all" dataOnly="0" outline="0" fieldPosition="0"/>
    </format>
    <format dxfId="842">
      <pivotArea outline="0" collapsedLevelsAreSubtotals="1" fieldPosition="0"/>
    </format>
    <format dxfId="841">
      <pivotArea dataOnly="0" labelOnly="1" outline="0" axis="axisValues" fieldPosition="0"/>
    </format>
    <format dxfId="840">
      <pivotArea type="all" dataOnly="0" outline="0" fieldPosition="0"/>
    </format>
    <format dxfId="839">
      <pivotArea outline="0" collapsedLevelsAreSubtotals="1" fieldPosition="0"/>
    </format>
    <format dxfId="838">
      <pivotArea dataOnly="0" labelOnly="1" outline="0" axis="axisValues" fieldPosition="0"/>
    </format>
    <format dxfId="837">
      <pivotArea type="all" dataOnly="0" outline="0" fieldPosition="0"/>
    </format>
    <format dxfId="836">
      <pivotArea outline="0" collapsedLevelsAreSubtotals="1" fieldPosition="0"/>
    </format>
    <format dxfId="835">
      <pivotArea dataOnly="0" labelOnly="1" outline="0" axis="axisValues" fieldPosition="0"/>
    </format>
    <format dxfId="834">
      <pivotArea type="all" dataOnly="0" outline="0" fieldPosition="0"/>
    </format>
    <format dxfId="833">
      <pivotArea outline="0" collapsedLevelsAreSubtotals="1" fieldPosition="0"/>
    </format>
    <format dxfId="832">
      <pivotArea dataOnly="0" labelOnly="1" outline="0" axis="axisValues" fieldPosition="0"/>
    </format>
    <format dxfId="831">
      <pivotArea type="all" dataOnly="0" outline="0" fieldPosition="0"/>
    </format>
    <format dxfId="830">
      <pivotArea outline="0" collapsedLevelsAreSubtotals="1" fieldPosition="0"/>
    </format>
    <format dxfId="8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F143C3C4-2DA9-4965-A0CF-926F5EA16632}" name="PivotTable81"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395:I403" firstHeaderRow="1" firstDataRow="1" firstDataCol="1" rowPageCount="3" colPageCount="1"/>
  <pivotFields count="68">
    <pivotField showAll="0" defaultSubtotal="0"/>
    <pivotField axis="axisPage" multipleItemSelectionAllowed="1" showAll="0" defaultSubtotal="0">
      <items count="5">
        <item x="1"/>
        <item x="2"/>
        <item x="4"/>
        <item h="1" x="3"/>
        <item h="1" x="0"/>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8">
    <i>
      <x/>
    </i>
    <i>
      <x v="1"/>
    </i>
    <i>
      <x v="2"/>
    </i>
    <i>
      <x v="8"/>
    </i>
    <i>
      <x v="9"/>
    </i>
    <i>
      <x v="14"/>
    </i>
    <i>
      <x v="15"/>
    </i>
    <i t="grand">
      <x/>
    </i>
  </rowItems>
  <colItems count="1">
    <i/>
  </colItems>
  <pageFields count="3">
    <pageField fld="7" hier="-1"/>
    <pageField fld="2" hier="-1"/>
    <pageField fld="1" hier="-1"/>
  </pageFields>
  <dataFields count="1">
    <dataField name="Sum of Net Dwellings" fld="40" baseField="0" baseItem="0"/>
  </dataFields>
  <formats count="34">
    <format dxfId="890">
      <pivotArea type="all" dataOnly="0" outline="0" fieldPosition="0"/>
    </format>
    <format dxfId="889">
      <pivotArea type="all" dataOnly="0" outline="0" fieldPosition="0"/>
    </format>
    <format dxfId="888">
      <pivotArea type="all" dataOnly="0" outline="0" fieldPosition="0"/>
    </format>
    <format dxfId="887">
      <pivotArea type="all" dataOnly="0" outline="0" fieldPosition="0"/>
    </format>
    <format dxfId="886">
      <pivotArea type="all" dataOnly="0" outline="0" fieldPosition="0"/>
    </format>
    <format dxfId="885">
      <pivotArea type="all" dataOnly="0" outline="0" fieldPosition="0"/>
    </format>
    <format dxfId="884">
      <pivotArea type="all" dataOnly="0" outline="0" fieldPosition="0"/>
    </format>
    <format dxfId="883">
      <pivotArea field="56" type="button" dataOnly="0" labelOnly="1" outline="0" axis="axisRow" fieldPosition="0"/>
    </format>
    <format dxfId="882">
      <pivotArea dataOnly="0" labelOnly="1" outline="0" fieldPosition="0">
        <references count="1">
          <reference field="4294967294" count="1">
            <x v="0"/>
          </reference>
        </references>
      </pivotArea>
    </format>
    <format dxfId="881">
      <pivotArea field="56" type="button" dataOnly="0" labelOnly="1" outline="0" axis="axisRow" fieldPosition="0"/>
    </format>
    <format dxfId="880">
      <pivotArea dataOnly="0" labelOnly="1" outline="0" fieldPosition="0">
        <references count="1">
          <reference field="4294967294" count="1">
            <x v="0"/>
          </reference>
        </references>
      </pivotArea>
    </format>
    <format dxfId="879">
      <pivotArea field="56" type="button" dataOnly="0" labelOnly="1" outline="0" axis="axisRow" fieldPosition="0"/>
    </format>
    <format dxfId="878">
      <pivotArea dataOnly="0" labelOnly="1" outline="0" fieldPosition="0">
        <references count="1">
          <reference field="4294967294" count="1">
            <x v="0"/>
          </reference>
        </references>
      </pivotArea>
    </format>
    <format dxfId="877">
      <pivotArea type="all" dataOnly="0" outline="0" fieldPosition="0"/>
    </format>
    <format dxfId="876">
      <pivotArea type="all" dataOnly="0" outline="0" fieldPosition="0"/>
    </format>
    <format dxfId="875">
      <pivotArea type="all" dataOnly="0" outline="0" fieldPosition="0"/>
    </format>
    <format dxfId="874">
      <pivotArea type="all" dataOnly="0" outline="0" fieldPosition="0"/>
    </format>
    <format dxfId="873">
      <pivotArea outline="0" collapsedLevelsAreSubtotals="1" fieldPosition="0"/>
    </format>
    <format dxfId="872">
      <pivotArea field="56" type="button" dataOnly="0" labelOnly="1" outline="0" axis="axisRow" fieldPosition="0"/>
    </format>
    <format dxfId="871">
      <pivotArea dataOnly="0" labelOnly="1" fieldPosition="0">
        <references count="1">
          <reference field="56" count="10">
            <x v="0"/>
            <x v="1"/>
            <x v="2"/>
            <x v="4"/>
            <x v="6"/>
            <x v="8"/>
            <x v="9"/>
            <x v="10"/>
            <x v="14"/>
            <x v="15"/>
          </reference>
        </references>
      </pivotArea>
    </format>
    <format dxfId="870">
      <pivotArea dataOnly="0" labelOnly="1" grandRow="1" outline="0" fieldPosition="0"/>
    </format>
    <format dxfId="869">
      <pivotArea dataOnly="0" labelOnly="1" outline="0" axis="axisValues" fieldPosition="0"/>
    </format>
    <format dxfId="868">
      <pivotArea type="all" dataOnly="0" outline="0" fieldPosition="0"/>
    </format>
    <format dxfId="867">
      <pivotArea outline="0" collapsedLevelsAreSubtotals="1" fieldPosition="0"/>
    </format>
    <format dxfId="866">
      <pivotArea field="56" type="button" dataOnly="0" labelOnly="1" outline="0" axis="axisRow" fieldPosition="0"/>
    </format>
    <format dxfId="865">
      <pivotArea dataOnly="0" labelOnly="1" fieldPosition="0">
        <references count="1">
          <reference field="56" count="7">
            <x v="0"/>
            <x v="1"/>
            <x v="2"/>
            <x v="8"/>
            <x v="9"/>
            <x v="14"/>
            <x v="15"/>
          </reference>
        </references>
      </pivotArea>
    </format>
    <format dxfId="864">
      <pivotArea dataOnly="0" labelOnly="1" grandRow="1" outline="0" fieldPosition="0"/>
    </format>
    <format dxfId="863">
      <pivotArea dataOnly="0" labelOnly="1" outline="0" axis="axisValues" fieldPosition="0"/>
    </format>
    <format dxfId="862">
      <pivotArea type="all" dataOnly="0" outline="0" fieldPosition="0"/>
    </format>
    <format dxfId="861">
      <pivotArea outline="0" collapsedLevelsAreSubtotals="1" fieldPosition="0"/>
    </format>
    <format dxfId="860">
      <pivotArea field="56" type="button" dataOnly="0" labelOnly="1" outline="0" axis="axisRow" fieldPosition="0"/>
    </format>
    <format dxfId="859">
      <pivotArea dataOnly="0" labelOnly="1" fieldPosition="0">
        <references count="1">
          <reference field="56" count="7">
            <x v="0"/>
            <x v="1"/>
            <x v="2"/>
            <x v="8"/>
            <x v="9"/>
            <x v="14"/>
            <x v="15"/>
          </reference>
        </references>
      </pivotArea>
    </format>
    <format dxfId="858">
      <pivotArea dataOnly="0" labelOnly="1" grandRow="1" outline="0" fieldPosition="0"/>
    </format>
    <format dxfId="8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48DBC69D-0B2F-4CE5-9A01-AA4FE0DA3236}" name="PivotTable79" cacheId="7" applyNumberFormats="0" applyBorderFormats="0" applyFontFormats="0" applyPatternFormats="0" applyAlignmentFormats="0" applyWidthHeightFormats="1" dataCaption="Values" missingCaption="0" updatedVersion="6" minRefreshableVersion="3" itemPrintTitles="1" createdVersion="4" indent="0" outline="1" outlineData="1" multipleFieldFilters="0">
  <location ref="H363:I376" firstHeaderRow="1" firstDataRow="1" firstDataCol="1" rowPageCount="3" colPageCount="1"/>
  <pivotFields count="68">
    <pivotField showAll="0" defaultSubtotal="0"/>
    <pivotField axis="axisPage" multipleItemSelectionAllowed="1" showAll="0" defaultSubtotal="0">
      <items count="5">
        <item x="1"/>
        <item x="2"/>
        <item x="4"/>
        <item h="1" x="3"/>
        <item h="1" x="0"/>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3">
    <i>
      <x v="1"/>
    </i>
    <i>
      <x v="2"/>
    </i>
    <i>
      <x v="3"/>
    </i>
    <i>
      <x v="4"/>
    </i>
    <i>
      <x v="6"/>
    </i>
    <i>
      <x v="8"/>
    </i>
    <i>
      <x v="9"/>
    </i>
    <i>
      <x v="10"/>
    </i>
    <i>
      <x v="11"/>
    </i>
    <i>
      <x v="12"/>
    </i>
    <i>
      <x v="14"/>
    </i>
    <i>
      <x v="16"/>
    </i>
    <i t="grand">
      <x/>
    </i>
  </rowItems>
  <colItems count="1">
    <i/>
  </colItems>
  <pageFields count="3">
    <pageField fld="7" hier="-1"/>
    <pageField fld="2" hier="-1"/>
    <pageField fld="1" hier="-1"/>
  </pageFields>
  <dataFields count="1">
    <dataField name="Sum of Net Dwellings" fld="40" baseField="0" baseItem="0"/>
  </dataFields>
  <formats count="36">
    <format dxfId="926">
      <pivotArea type="all" dataOnly="0" outline="0" fieldPosition="0"/>
    </format>
    <format dxfId="925">
      <pivotArea type="all" dataOnly="0" outline="0" fieldPosition="0"/>
    </format>
    <format dxfId="924">
      <pivotArea type="all" dataOnly="0" outline="0" fieldPosition="0"/>
    </format>
    <format dxfId="923">
      <pivotArea type="all" dataOnly="0" outline="0" fieldPosition="0"/>
    </format>
    <format dxfId="922">
      <pivotArea type="all" dataOnly="0" outline="0" fieldPosition="0"/>
    </format>
    <format dxfId="921">
      <pivotArea type="all" dataOnly="0" outline="0" fieldPosition="0"/>
    </format>
    <format dxfId="920">
      <pivotArea type="all" dataOnly="0" outline="0" fieldPosition="0"/>
    </format>
    <format dxfId="919">
      <pivotArea field="56" type="button" dataOnly="0" labelOnly="1" outline="0" axis="axisRow" fieldPosition="0"/>
    </format>
    <format dxfId="918">
      <pivotArea dataOnly="0" labelOnly="1" outline="0" fieldPosition="0">
        <references count="1">
          <reference field="4294967294" count="1">
            <x v="0"/>
          </reference>
        </references>
      </pivotArea>
    </format>
    <format dxfId="917">
      <pivotArea field="56" type="button" dataOnly="0" labelOnly="1" outline="0" axis="axisRow" fieldPosition="0"/>
    </format>
    <format dxfId="916">
      <pivotArea dataOnly="0" labelOnly="1" outline="0" fieldPosition="0">
        <references count="1">
          <reference field="4294967294" count="1">
            <x v="0"/>
          </reference>
        </references>
      </pivotArea>
    </format>
    <format dxfId="915">
      <pivotArea field="56" type="button" dataOnly="0" labelOnly="1" outline="0" axis="axisRow" fieldPosition="0"/>
    </format>
    <format dxfId="914">
      <pivotArea dataOnly="0" labelOnly="1" outline="0" fieldPosition="0">
        <references count="1">
          <reference field="4294967294" count="1">
            <x v="0"/>
          </reference>
        </references>
      </pivotArea>
    </format>
    <format dxfId="913">
      <pivotArea type="all" dataOnly="0" outline="0" fieldPosition="0"/>
    </format>
    <format dxfId="912">
      <pivotArea type="all" dataOnly="0" outline="0" fieldPosition="0"/>
    </format>
    <format dxfId="911">
      <pivotArea type="all" dataOnly="0" outline="0" fieldPosition="0"/>
    </format>
    <format dxfId="910">
      <pivotArea type="all" dataOnly="0" outline="0" fieldPosition="0"/>
    </format>
    <format dxfId="909">
      <pivotArea outline="0" collapsedLevelsAreSubtotals="1" fieldPosition="0"/>
    </format>
    <format dxfId="908">
      <pivotArea field="56" type="button" dataOnly="0" labelOnly="1" outline="0" axis="axisRow" fieldPosition="0"/>
    </format>
    <format dxfId="907">
      <pivotArea dataOnly="0" labelOnly="1" fieldPosition="0">
        <references count="1">
          <reference field="56" count="15">
            <x v="1"/>
            <x v="2"/>
            <x v="3"/>
            <x v="4"/>
            <x v="6"/>
            <x v="8"/>
            <x v="9"/>
            <x v="10"/>
            <x v="11"/>
            <x v="12"/>
            <x v="13"/>
            <x v="14"/>
            <x v="15"/>
            <x v="16"/>
            <x v="17"/>
          </reference>
        </references>
      </pivotArea>
    </format>
    <format dxfId="906">
      <pivotArea dataOnly="0" labelOnly="1" grandRow="1" outline="0" fieldPosition="0"/>
    </format>
    <format dxfId="905">
      <pivotArea dataOnly="0" labelOnly="1" outline="0" axis="axisValues" fieldPosition="0"/>
    </format>
    <format dxfId="904">
      <pivotArea grandRow="1" outline="0" collapsedLevelsAreSubtotals="1" fieldPosition="0"/>
    </format>
    <format dxfId="903">
      <pivotArea type="all" dataOnly="0" outline="0" fieldPosition="0"/>
    </format>
    <format dxfId="902">
      <pivotArea outline="0" collapsedLevelsAreSubtotals="1" fieldPosition="0"/>
    </format>
    <format dxfId="901">
      <pivotArea field="56" type="button" dataOnly="0" labelOnly="1" outline="0" axis="axisRow" fieldPosition="0"/>
    </format>
    <format dxfId="900">
      <pivotArea dataOnly="0" labelOnly="1" fieldPosition="0">
        <references count="1">
          <reference field="56" count="12">
            <x v="1"/>
            <x v="2"/>
            <x v="3"/>
            <x v="4"/>
            <x v="6"/>
            <x v="8"/>
            <x v="9"/>
            <x v="10"/>
            <x v="11"/>
            <x v="12"/>
            <x v="14"/>
            <x v="16"/>
          </reference>
        </references>
      </pivotArea>
    </format>
    <format dxfId="899">
      <pivotArea dataOnly="0" labelOnly="1" grandRow="1" outline="0" fieldPosition="0"/>
    </format>
    <format dxfId="898">
      <pivotArea dataOnly="0" labelOnly="1" outline="0" axis="axisValues" fieldPosition="0"/>
    </format>
    <format dxfId="897">
      <pivotArea type="all" dataOnly="0" outline="0" fieldPosition="0"/>
    </format>
    <format dxfId="896">
      <pivotArea outline="0" collapsedLevelsAreSubtotals="1" fieldPosition="0"/>
    </format>
    <format dxfId="895">
      <pivotArea field="56" type="button" dataOnly="0" labelOnly="1" outline="0" axis="axisRow" fieldPosition="0"/>
    </format>
    <format dxfId="894">
      <pivotArea dataOnly="0" labelOnly="1" fieldPosition="0">
        <references count="1">
          <reference field="56" count="12">
            <x v="1"/>
            <x v="2"/>
            <x v="3"/>
            <x v="4"/>
            <x v="6"/>
            <x v="8"/>
            <x v="9"/>
            <x v="10"/>
            <x v="11"/>
            <x v="12"/>
            <x v="14"/>
            <x v="16"/>
          </reference>
        </references>
      </pivotArea>
    </format>
    <format dxfId="893">
      <pivotArea dataOnly="0" labelOnly="1" grandRow="1" outline="0" fieldPosition="0"/>
    </format>
    <format dxfId="892">
      <pivotArea dataOnly="0" labelOnly="1" outline="0" axis="axisValues" fieldPosition="0"/>
    </format>
    <format dxfId="89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938F9D24-AF9A-471E-848B-EA7BC321DF56}" name="PivotTable51"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41:E142"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954">
      <pivotArea type="all" dataOnly="0" outline="0" fieldPosition="0"/>
    </format>
    <format dxfId="953">
      <pivotArea type="all" dataOnly="0" outline="0" fieldPosition="0"/>
    </format>
    <format dxfId="952">
      <pivotArea type="all" dataOnly="0" outline="0" fieldPosition="0"/>
    </format>
    <format dxfId="951">
      <pivotArea type="all" dataOnly="0" outline="0" fieldPosition="0"/>
    </format>
    <format dxfId="950">
      <pivotArea type="all" dataOnly="0" outline="0" fieldPosition="0"/>
    </format>
    <format dxfId="949">
      <pivotArea type="all" dataOnly="0" outline="0" fieldPosition="0"/>
    </format>
    <format dxfId="948">
      <pivotArea type="all" dataOnly="0" outline="0" fieldPosition="0"/>
    </format>
    <format dxfId="947">
      <pivotArea type="all" dataOnly="0" outline="0" fieldPosition="0"/>
    </format>
    <format dxfId="946">
      <pivotArea type="all" dataOnly="0" outline="0" fieldPosition="0"/>
    </format>
    <format dxfId="945">
      <pivotArea type="all" dataOnly="0" outline="0" fieldPosition="0"/>
    </format>
    <format dxfId="944">
      <pivotArea type="all" dataOnly="0" outline="0" fieldPosition="0"/>
    </format>
    <format dxfId="943">
      <pivotArea outline="0" collapsedLevelsAreSubtotals="1" fieldPosition="0"/>
    </format>
    <format dxfId="942">
      <pivotArea dataOnly="0" labelOnly="1" outline="0" axis="axisValues" fieldPosition="0"/>
    </format>
    <format dxfId="941">
      <pivotArea type="all" dataOnly="0" outline="0" fieldPosition="0"/>
    </format>
    <format dxfId="940">
      <pivotArea outline="0" collapsedLevelsAreSubtotals="1" fieldPosition="0"/>
    </format>
    <format dxfId="939">
      <pivotArea dataOnly="0" labelOnly="1" outline="0" axis="axisValues" fieldPosition="0"/>
    </format>
    <format dxfId="938">
      <pivotArea type="all" dataOnly="0" outline="0" fieldPosition="0"/>
    </format>
    <format dxfId="937">
      <pivotArea outline="0" collapsedLevelsAreSubtotals="1" fieldPosition="0"/>
    </format>
    <format dxfId="936">
      <pivotArea dataOnly="0" labelOnly="1" outline="0" axis="axisValues" fieldPosition="0"/>
    </format>
    <format dxfId="935">
      <pivotArea type="all" dataOnly="0" outline="0" fieldPosition="0"/>
    </format>
    <format dxfId="934">
      <pivotArea outline="0" collapsedLevelsAreSubtotals="1" fieldPosition="0"/>
    </format>
    <format dxfId="933">
      <pivotArea dataOnly="0" labelOnly="1" outline="0" axis="axisValues" fieldPosition="0"/>
    </format>
    <format dxfId="932">
      <pivotArea type="all" dataOnly="0" outline="0" fieldPosition="0"/>
    </format>
    <format dxfId="931">
      <pivotArea outline="0" collapsedLevelsAreSubtotals="1" fieldPosition="0"/>
    </format>
    <format dxfId="930">
      <pivotArea dataOnly="0" labelOnly="1" outline="0" axis="axisValues" fieldPosition="0"/>
    </format>
    <format dxfId="929">
      <pivotArea type="all" dataOnly="0" outline="0" fieldPosition="0"/>
    </format>
    <format dxfId="928">
      <pivotArea outline="0" collapsedLevelsAreSubtotals="1" fieldPosition="0"/>
    </format>
    <format dxfId="92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48923F7C-E915-42B6-97D7-4D40AFEAE062}" name="PivotTable26"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13:E21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x="1"/>
        <item x="2"/>
        <item x="0"/>
        <item m="1" x="6"/>
        <item x="3"/>
        <item m="1" x="7"/>
        <item m="1" x="5"/>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982">
      <pivotArea type="all" dataOnly="0" outline="0" fieldPosition="0"/>
    </format>
    <format dxfId="981">
      <pivotArea type="all" dataOnly="0" outline="0" fieldPosition="0"/>
    </format>
    <format dxfId="980">
      <pivotArea type="all" dataOnly="0" outline="0" fieldPosition="0"/>
    </format>
    <format dxfId="979">
      <pivotArea type="all" dataOnly="0" outline="0" fieldPosition="0"/>
    </format>
    <format dxfId="978">
      <pivotArea type="all" dataOnly="0" outline="0" fieldPosition="0"/>
    </format>
    <format dxfId="977">
      <pivotArea type="all" dataOnly="0" outline="0" fieldPosition="0"/>
    </format>
    <format dxfId="976">
      <pivotArea type="all" dataOnly="0" outline="0" fieldPosition="0"/>
    </format>
    <format dxfId="975">
      <pivotArea type="all" dataOnly="0" outline="0" fieldPosition="0"/>
    </format>
    <format dxfId="974">
      <pivotArea type="all" dataOnly="0" outline="0" fieldPosition="0"/>
    </format>
    <format dxfId="973">
      <pivotArea type="all" dataOnly="0" outline="0" fieldPosition="0"/>
    </format>
    <format dxfId="972">
      <pivotArea type="all" dataOnly="0" outline="0" fieldPosition="0"/>
    </format>
    <format dxfId="971">
      <pivotArea outline="0" collapsedLevelsAreSubtotals="1" fieldPosition="0"/>
    </format>
    <format dxfId="970">
      <pivotArea dataOnly="0" labelOnly="1" outline="0" axis="axisValues" fieldPosition="0"/>
    </format>
    <format dxfId="969">
      <pivotArea type="all" dataOnly="0" outline="0" fieldPosition="0"/>
    </format>
    <format dxfId="968">
      <pivotArea outline="0" collapsedLevelsAreSubtotals="1" fieldPosition="0"/>
    </format>
    <format dxfId="967">
      <pivotArea dataOnly="0" labelOnly="1" outline="0" axis="axisValues" fieldPosition="0"/>
    </format>
    <format dxfId="966">
      <pivotArea type="all" dataOnly="0" outline="0" fieldPosition="0"/>
    </format>
    <format dxfId="965">
      <pivotArea outline="0" collapsedLevelsAreSubtotals="1" fieldPosition="0"/>
    </format>
    <format dxfId="964">
      <pivotArea dataOnly="0" labelOnly="1" outline="0" axis="axisValues" fieldPosition="0"/>
    </format>
    <format dxfId="963">
      <pivotArea type="all" dataOnly="0" outline="0" fieldPosition="0"/>
    </format>
    <format dxfId="962">
      <pivotArea outline="0" collapsedLevelsAreSubtotals="1" fieldPosition="0"/>
    </format>
    <format dxfId="961">
      <pivotArea dataOnly="0" labelOnly="1" outline="0" axis="axisValues" fieldPosition="0"/>
    </format>
    <format dxfId="960">
      <pivotArea type="all" dataOnly="0" outline="0" fieldPosition="0"/>
    </format>
    <format dxfId="959">
      <pivotArea outline="0" collapsedLevelsAreSubtotals="1" fieldPosition="0"/>
    </format>
    <format dxfId="958">
      <pivotArea dataOnly="0" labelOnly="1" outline="0" axis="axisValues" fieldPosition="0"/>
    </format>
    <format dxfId="957">
      <pivotArea type="all" dataOnly="0" outline="0" fieldPosition="0"/>
    </format>
    <format dxfId="956">
      <pivotArea outline="0" collapsedLevelsAreSubtotals="1" fieldPosition="0"/>
    </format>
    <format dxfId="95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D4ED7DB8-DEBA-4FE9-9597-2E97A73DD7D9}" name="PivotTable13"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62:E63" firstHeaderRow="1" firstDataRow="1" firstDataCol="0" rowPageCount="2" colPageCount="1"/>
  <pivotFields count="57">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8">
    <format dxfId="1010">
      <pivotArea type="all" dataOnly="0" outline="0" fieldPosition="0"/>
    </format>
    <format dxfId="1009">
      <pivotArea type="all" dataOnly="0" outline="0" fieldPosition="0"/>
    </format>
    <format dxfId="1008">
      <pivotArea type="all" dataOnly="0" outline="0" fieldPosition="0"/>
    </format>
    <format dxfId="1007">
      <pivotArea type="all" dataOnly="0" outline="0" fieldPosition="0"/>
    </format>
    <format dxfId="1006">
      <pivotArea type="all" dataOnly="0" outline="0" fieldPosition="0"/>
    </format>
    <format dxfId="1005">
      <pivotArea type="all" dataOnly="0" outline="0" fieldPosition="0"/>
    </format>
    <format dxfId="1004">
      <pivotArea type="all" dataOnly="0" outline="0" fieldPosition="0"/>
    </format>
    <format dxfId="1003">
      <pivotArea type="all" dataOnly="0" outline="0" fieldPosition="0"/>
    </format>
    <format dxfId="1002">
      <pivotArea type="all" dataOnly="0" outline="0" fieldPosition="0"/>
    </format>
    <format dxfId="1001">
      <pivotArea type="all" dataOnly="0" outline="0" fieldPosition="0"/>
    </format>
    <format dxfId="1000">
      <pivotArea type="all" dataOnly="0" outline="0" fieldPosition="0"/>
    </format>
    <format dxfId="999">
      <pivotArea outline="0" collapsedLevelsAreSubtotals="1" fieldPosition="0"/>
    </format>
    <format dxfId="998">
      <pivotArea dataOnly="0" labelOnly="1" outline="0" axis="axisValues" fieldPosition="0"/>
    </format>
    <format dxfId="997">
      <pivotArea type="all" dataOnly="0" outline="0" fieldPosition="0"/>
    </format>
    <format dxfId="996">
      <pivotArea outline="0" collapsedLevelsAreSubtotals="1" fieldPosition="0"/>
    </format>
    <format dxfId="995">
      <pivotArea dataOnly="0" labelOnly="1" outline="0" axis="axisValues" fieldPosition="0"/>
    </format>
    <format dxfId="994">
      <pivotArea type="all" dataOnly="0" outline="0" fieldPosition="0"/>
    </format>
    <format dxfId="993">
      <pivotArea outline="0" collapsedLevelsAreSubtotals="1" fieldPosition="0"/>
    </format>
    <format dxfId="992">
      <pivotArea dataOnly="0" labelOnly="1" outline="0" axis="axisValues" fieldPosition="0"/>
    </format>
    <format dxfId="991">
      <pivotArea type="all" dataOnly="0" outline="0" fieldPosition="0"/>
    </format>
    <format dxfId="990">
      <pivotArea outline="0" collapsedLevelsAreSubtotals="1" fieldPosition="0"/>
    </format>
    <format dxfId="989">
      <pivotArea dataOnly="0" labelOnly="1" outline="0" axis="axisValues" fieldPosition="0"/>
    </format>
    <format dxfId="988">
      <pivotArea type="all" dataOnly="0" outline="0" fieldPosition="0"/>
    </format>
    <format dxfId="987">
      <pivotArea outline="0" collapsedLevelsAreSubtotals="1" fieldPosition="0"/>
    </format>
    <format dxfId="986">
      <pivotArea dataOnly="0" labelOnly="1" outline="0" axis="axisValues" fieldPosition="0"/>
    </format>
    <format dxfId="985">
      <pivotArea type="all" dataOnly="0" outline="0" fieldPosition="0"/>
    </format>
    <format dxfId="984">
      <pivotArea outline="0" collapsedLevelsAreSubtotals="1" fieldPosition="0"/>
    </format>
    <format dxfId="9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EE1FF006-4F15-47B1-90C4-BFFF784DB822}" name="PivotTable67"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55:H156"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038">
      <pivotArea type="all" dataOnly="0" outline="0" fieldPosition="0"/>
    </format>
    <format dxfId="1037">
      <pivotArea type="all" dataOnly="0" outline="0" fieldPosition="0"/>
    </format>
    <format dxfId="1036">
      <pivotArea type="all" dataOnly="0" outline="0" fieldPosition="0"/>
    </format>
    <format dxfId="1035">
      <pivotArea type="all" dataOnly="0" outline="0" fieldPosition="0"/>
    </format>
    <format dxfId="1034">
      <pivotArea type="all" dataOnly="0" outline="0" fieldPosition="0"/>
    </format>
    <format dxfId="1033">
      <pivotArea type="all" dataOnly="0" outline="0" fieldPosition="0"/>
    </format>
    <format dxfId="1032">
      <pivotArea type="all" dataOnly="0" outline="0" fieldPosition="0"/>
    </format>
    <format dxfId="1031">
      <pivotArea type="all" dataOnly="0" outline="0" fieldPosition="0"/>
    </format>
    <format dxfId="1030">
      <pivotArea type="all" dataOnly="0" outline="0" fieldPosition="0"/>
    </format>
    <format dxfId="1029">
      <pivotArea type="all" dataOnly="0" outline="0" fieldPosition="0"/>
    </format>
    <format dxfId="1028">
      <pivotArea type="all" dataOnly="0" outline="0" fieldPosition="0"/>
    </format>
    <format dxfId="1027">
      <pivotArea outline="0" collapsedLevelsAreSubtotals="1" fieldPosition="0"/>
    </format>
    <format dxfId="1026">
      <pivotArea dataOnly="0" labelOnly="1" outline="0" axis="axisValues" fieldPosition="0"/>
    </format>
    <format dxfId="1025">
      <pivotArea type="all" dataOnly="0" outline="0" fieldPosition="0"/>
    </format>
    <format dxfId="1024">
      <pivotArea outline="0" collapsedLevelsAreSubtotals="1" fieldPosition="0"/>
    </format>
    <format dxfId="1023">
      <pivotArea dataOnly="0" labelOnly="1" outline="0" axis="axisValues" fieldPosition="0"/>
    </format>
    <format dxfId="1022">
      <pivotArea type="all" dataOnly="0" outline="0" fieldPosition="0"/>
    </format>
    <format dxfId="1021">
      <pivotArea outline="0" collapsedLevelsAreSubtotals="1" fieldPosition="0"/>
    </format>
    <format dxfId="1020">
      <pivotArea dataOnly="0" labelOnly="1" outline="0" axis="axisValues" fieldPosition="0"/>
    </format>
    <format dxfId="1019">
      <pivotArea type="all" dataOnly="0" outline="0" fieldPosition="0"/>
    </format>
    <format dxfId="1018">
      <pivotArea outline="0" collapsedLevelsAreSubtotals="1" fieldPosition="0"/>
    </format>
    <format dxfId="1017">
      <pivotArea dataOnly="0" labelOnly="1" outline="0" axis="axisValues" fieldPosition="0"/>
    </format>
    <format dxfId="1016">
      <pivotArea type="all" dataOnly="0" outline="0" fieldPosition="0"/>
    </format>
    <format dxfId="1015">
      <pivotArea outline="0" collapsedLevelsAreSubtotals="1" fieldPosition="0"/>
    </format>
    <format dxfId="1014">
      <pivotArea dataOnly="0" labelOnly="1" outline="0" axis="axisValues" fieldPosition="0"/>
    </format>
    <format dxfId="1013">
      <pivotArea type="all" dataOnly="0" outline="0" fieldPosition="0"/>
    </format>
    <format dxfId="1012">
      <pivotArea outline="0" collapsedLevelsAreSubtotals="1" fieldPosition="0"/>
    </format>
    <format dxfId="10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2A067F2B-E081-4002-8AC5-35476F1426BA}" name="PivotTable45"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15:B11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1066">
      <pivotArea type="all" dataOnly="0" outline="0" fieldPosition="0"/>
    </format>
    <format dxfId="1065">
      <pivotArea type="all" dataOnly="0" outline="0" fieldPosition="0"/>
    </format>
    <format dxfId="1064">
      <pivotArea type="all" dataOnly="0" outline="0" fieldPosition="0"/>
    </format>
    <format dxfId="1063">
      <pivotArea type="all" dataOnly="0" outline="0" fieldPosition="0"/>
    </format>
    <format dxfId="1062">
      <pivotArea type="all" dataOnly="0" outline="0" fieldPosition="0"/>
    </format>
    <format dxfId="1061">
      <pivotArea type="all" dataOnly="0" outline="0" fieldPosition="0"/>
    </format>
    <format dxfId="1060">
      <pivotArea type="all" dataOnly="0" outline="0" fieldPosition="0"/>
    </format>
    <format dxfId="1059">
      <pivotArea type="all" dataOnly="0" outline="0" fieldPosition="0"/>
    </format>
    <format dxfId="1058">
      <pivotArea type="all" dataOnly="0" outline="0" fieldPosition="0"/>
    </format>
    <format dxfId="1057">
      <pivotArea type="all" dataOnly="0" outline="0" fieldPosition="0"/>
    </format>
    <format dxfId="1056">
      <pivotArea type="all" dataOnly="0" outline="0" fieldPosition="0"/>
    </format>
    <format dxfId="1055">
      <pivotArea outline="0" collapsedLevelsAreSubtotals="1" fieldPosition="0"/>
    </format>
    <format dxfId="1054">
      <pivotArea dataOnly="0" labelOnly="1" outline="0" axis="axisValues" fieldPosition="0"/>
    </format>
    <format dxfId="1053">
      <pivotArea type="all" dataOnly="0" outline="0" fieldPosition="0"/>
    </format>
    <format dxfId="1052">
      <pivotArea outline="0" collapsedLevelsAreSubtotals="1" fieldPosition="0"/>
    </format>
    <format dxfId="1051">
      <pivotArea dataOnly="0" labelOnly="1" outline="0" axis="axisValues" fieldPosition="0"/>
    </format>
    <format dxfId="1050">
      <pivotArea type="all" dataOnly="0" outline="0" fieldPosition="0"/>
    </format>
    <format dxfId="1049">
      <pivotArea outline="0" collapsedLevelsAreSubtotals="1" fieldPosition="0"/>
    </format>
    <format dxfId="1048">
      <pivotArea dataOnly="0" labelOnly="1" outline="0" axis="axisValues" fieldPosition="0"/>
    </format>
    <format dxfId="1047">
      <pivotArea type="all" dataOnly="0" outline="0" fieldPosition="0"/>
    </format>
    <format dxfId="1046">
      <pivotArea outline="0" collapsedLevelsAreSubtotals="1" fieldPosition="0"/>
    </format>
    <format dxfId="1045">
      <pivotArea dataOnly="0" labelOnly="1" outline="0" axis="axisValues" fieldPosition="0"/>
    </format>
    <format dxfId="1044">
      <pivotArea type="all" dataOnly="0" outline="0" fieldPosition="0"/>
    </format>
    <format dxfId="1043">
      <pivotArea outline="0" collapsedLevelsAreSubtotals="1" fieldPosition="0"/>
    </format>
    <format dxfId="1042">
      <pivotArea dataOnly="0" labelOnly="1" outline="0" axis="axisValues" fieldPosition="0"/>
    </format>
    <format dxfId="1041">
      <pivotArea type="all" dataOnly="0" outline="0" fieldPosition="0"/>
    </format>
    <format dxfId="1040">
      <pivotArea outline="0" collapsedLevelsAreSubtotals="1" fieldPosition="0"/>
    </format>
    <format dxfId="10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6A7D322B-483D-4E04-9AF0-D73A39F9D70C}" name="PivotTable39"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47:I350" firstHeaderRow="0" firstDataRow="1" firstDataCol="1" rowPageCount="2" colPageCount="1"/>
  <pivotFields count="68">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Row" multipleItemSelectionAllowed="1" showAll="0" defaultSubtotal="0">
      <items count="6">
        <item x="1"/>
        <item x="2"/>
        <item x="0"/>
        <item x="5"/>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3">
    <i>
      <x/>
    </i>
    <i>
      <x v="2"/>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28">
    <format dxfId="1094">
      <pivotArea type="all" dataOnly="0" outline="0" fieldPosition="0"/>
    </format>
    <format dxfId="1093">
      <pivotArea type="all" dataOnly="0" outline="0" fieldPosition="0"/>
    </format>
    <format dxfId="1092">
      <pivotArea type="all" dataOnly="0" outline="0" fieldPosition="0"/>
    </format>
    <format dxfId="1091">
      <pivotArea type="all" dataOnly="0" outline="0" fieldPosition="0"/>
    </format>
    <format dxfId="1090">
      <pivotArea type="all" dataOnly="0" outline="0" fieldPosition="0"/>
    </format>
    <format dxfId="1089">
      <pivotArea type="all" dataOnly="0" outline="0" fieldPosition="0"/>
    </format>
    <format dxfId="1088">
      <pivotArea type="all" dataOnly="0" outline="0" fieldPosition="0"/>
    </format>
    <format dxfId="1087">
      <pivotArea type="all" dataOnly="0" outline="0" fieldPosition="0"/>
    </format>
    <format dxfId="1086">
      <pivotArea type="all" dataOnly="0" outline="0" fieldPosition="0"/>
    </format>
    <format dxfId="1085">
      <pivotArea type="all" dataOnly="0" outline="0" fieldPosition="0"/>
    </format>
    <format dxfId="1084">
      <pivotArea type="all" dataOnly="0" outline="0" fieldPosition="0"/>
    </format>
    <format dxfId="1083">
      <pivotArea outline="0" collapsedLevelsAreSubtotals="1" fieldPosition="0"/>
    </format>
    <format dxfId="1082">
      <pivotArea field="8" type="button" dataOnly="0" labelOnly="1" outline="0" axis="axisRow" fieldPosition="0"/>
    </format>
    <format dxfId="1081">
      <pivotArea dataOnly="0" labelOnly="1" fieldPosition="0">
        <references count="1">
          <reference field="8" count="4">
            <x v="0"/>
            <x v="1"/>
            <x v="2"/>
            <x v="4"/>
          </reference>
        </references>
      </pivotArea>
    </format>
    <format dxfId="1080">
      <pivotArea dataOnly="0" labelOnly="1" grandRow="1" outline="0" fieldPosition="0"/>
    </format>
    <format dxfId="1079">
      <pivotArea dataOnly="0" labelOnly="1" outline="0" fieldPosition="0">
        <references count="1">
          <reference field="4294967294" count="7">
            <x v="0"/>
            <x v="1"/>
            <x v="2"/>
            <x v="3"/>
            <x v="4"/>
            <x v="5"/>
            <x v="6"/>
          </reference>
        </references>
      </pivotArea>
    </format>
    <format dxfId="1078">
      <pivotArea type="all" dataOnly="0" outline="0" fieldPosition="0"/>
    </format>
    <format dxfId="1077">
      <pivotArea outline="0" collapsedLevelsAreSubtotals="1" fieldPosition="0"/>
    </format>
    <format dxfId="1076">
      <pivotArea field="8" type="button" dataOnly="0" labelOnly="1" outline="0" axis="axisRow" fieldPosition="0"/>
    </format>
    <format dxfId="1075">
      <pivotArea dataOnly="0" labelOnly="1" fieldPosition="0">
        <references count="1">
          <reference field="8" count="2">
            <x v="0"/>
            <x v="2"/>
          </reference>
        </references>
      </pivotArea>
    </format>
    <format dxfId="1074">
      <pivotArea dataOnly="0" labelOnly="1" grandRow="1" outline="0" fieldPosition="0"/>
    </format>
    <format dxfId="1073">
      <pivotArea dataOnly="0" labelOnly="1" outline="0" fieldPosition="0">
        <references count="1">
          <reference field="4294967294" count="7">
            <x v="0"/>
            <x v="1"/>
            <x v="2"/>
            <x v="3"/>
            <x v="4"/>
            <x v="5"/>
            <x v="6"/>
          </reference>
        </references>
      </pivotArea>
    </format>
    <format dxfId="1072">
      <pivotArea type="all" dataOnly="0" outline="0" fieldPosition="0"/>
    </format>
    <format dxfId="1071">
      <pivotArea outline="0" collapsedLevelsAreSubtotals="1" fieldPosition="0"/>
    </format>
    <format dxfId="1070">
      <pivotArea field="8" type="button" dataOnly="0" labelOnly="1" outline="0" axis="axisRow" fieldPosition="0"/>
    </format>
    <format dxfId="1069">
      <pivotArea dataOnly="0" labelOnly="1" fieldPosition="0">
        <references count="1">
          <reference field="8" count="2">
            <x v="0"/>
            <x v="2"/>
          </reference>
        </references>
      </pivotArea>
    </format>
    <format dxfId="1068">
      <pivotArea dataOnly="0" labelOnly="1" grandRow="1" outline="0" fieldPosition="0"/>
    </format>
    <format dxfId="1067">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D666D9E-DD10-41B1-B777-A11E13DF1543}" name="PivotTable19"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89:E90"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111">
      <pivotArea type="all" dataOnly="0" outline="0" fieldPosition="0"/>
    </format>
    <format dxfId="110">
      <pivotArea type="all" dataOnly="0" outline="0" fieldPosition="0"/>
    </format>
    <format dxfId="109">
      <pivotArea type="all" dataOnly="0" outline="0" fieldPosition="0"/>
    </format>
    <format dxfId="108">
      <pivotArea type="all" dataOnly="0" outline="0" fieldPosition="0"/>
    </format>
    <format dxfId="107">
      <pivotArea type="all" dataOnly="0" outline="0" fieldPosition="0"/>
    </format>
    <format dxfId="106">
      <pivotArea type="all" dataOnly="0" outline="0" fieldPosition="0"/>
    </format>
    <format dxfId="105">
      <pivotArea type="all" dataOnly="0" outline="0" fieldPosition="0"/>
    </format>
    <format dxfId="104">
      <pivotArea type="all" dataOnly="0" outline="0" fieldPosition="0"/>
    </format>
    <format dxfId="103">
      <pivotArea type="all" dataOnly="0" outline="0" fieldPosition="0"/>
    </format>
    <format dxfId="102">
      <pivotArea type="all" dataOnly="0" outline="0" fieldPosition="0"/>
    </format>
    <format dxfId="101">
      <pivotArea type="all" dataOnly="0" outline="0" fieldPosition="0"/>
    </format>
    <format dxfId="100">
      <pivotArea outline="0" collapsedLevelsAreSubtotals="1" fieldPosition="0"/>
    </format>
    <format dxfId="99">
      <pivotArea dataOnly="0" labelOnly="1" outline="0" axis="axisValues"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type="all" dataOnly="0" outline="0" fieldPosition="0"/>
    </format>
    <format dxfId="94">
      <pivotArea outline="0" collapsedLevelsAreSubtotals="1" fieldPosition="0"/>
    </format>
    <format dxfId="93">
      <pivotArea dataOnly="0" labelOnly="1" outline="0" axis="axisValues" fieldPosition="0"/>
    </format>
    <format dxfId="92">
      <pivotArea type="all" dataOnly="0" outline="0" fieldPosition="0"/>
    </format>
    <format dxfId="91">
      <pivotArea outline="0" collapsedLevelsAreSubtotals="1" fieldPosition="0"/>
    </format>
    <format dxfId="90">
      <pivotArea dataOnly="0" labelOnly="1" outline="0" axis="axisValues" fieldPosition="0"/>
    </format>
    <format dxfId="89">
      <pivotArea type="all" dataOnly="0" outline="0" fieldPosition="0"/>
    </format>
    <format dxfId="88">
      <pivotArea outline="0" collapsedLevelsAreSubtotals="1" fieldPosition="0"/>
    </format>
    <format dxfId="87">
      <pivotArea dataOnly="0" labelOnly="1" outline="0" axis="axisValues" fieldPosition="0"/>
    </format>
    <format dxfId="86">
      <pivotArea type="all" dataOnly="0" outline="0" fieldPosition="0"/>
    </format>
    <format dxfId="85">
      <pivotArea outline="0" collapsedLevelsAreSubtotals="1" fieldPosition="0"/>
    </format>
    <format dxfId="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D61E4FF-BAD8-44BD-A08C-1F35DB8066DC}" name="PivotTable82"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395:F406" firstHeaderRow="1" firstDataRow="1" firstDataCol="1" rowPageCount="3" colPageCount="1"/>
  <pivotFields count="68">
    <pivotField showAll="0" defaultSubtotal="0"/>
    <pivotField axis="axisPage" multipleItemSelectionAllowed="1" showAll="0" defaultSubtotal="0">
      <items count="5">
        <item x="1"/>
        <item x="2"/>
        <item x="4"/>
        <item h="1" x="3"/>
        <item h="1" x="0"/>
      </items>
    </pivotField>
    <pivotField axis="axisPage" multipleItemSelectionAllowed="1" showAll="0" defaultSubtotal="0">
      <items count="2">
        <item x="1"/>
        <item h="1" x="0"/>
      </items>
    </pivotField>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1">
    <i>
      <x v="1"/>
    </i>
    <i>
      <x v="6"/>
    </i>
    <i>
      <x v="8"/>
    </i>
    <i>
      <x v="9"/>
    </i>
    <i>
      <x v="10"/>
    </i>
    <i>
      <x v="12"/>
    </i>
    <i>
      <x v="13"/>
    </i>
    <i>
      <x v="15"/>
    </i>
    <i>
      <x v="16"/>
    </i>
    <i>
      <x v="17"/>
    </i>
    <i t="grand">
      <x/>
    </i>
  </rowItems>
  <colItems count="1">
    <i/>
  </colItems>
  <pageFields count="3">
    <pageField fld="7" hier="-1"/>
    <pageField fld="2" hier="-1"/>
    <pageField fld="1" hier="-1"/>
  </pageFields>
  <dataFields count="1">
    <dataField name="Sum of Net Dwellings" fld="40" baseField="0" baseItem="0"/>
  </dataFields>
  <formats count="34">
    <format dxfId="1128">
      <pivotArea type="all" dataOnly="0" outline="0" fieldPosition="0"/>
    </format>
    <format dxfId="1127">
      <pivotArea type="all" dataOnly="0" outline="0" fieldPosition="0"/>
    </format>
    <format dxfId="1126">
      <pivotArea type="all" dataOnly="0" outline="0" fieldPosition="0"/>
    </format>
    <format dxfId="1125">
      <pivotArea type="all" dataOnly="0" outline="0" fieldPosition="0"/>
    </format>
    <format dxfId="1124">
      <pivotArea type="all" dataOnly="0" outline="0" fieldPosition="0"/>
    </format>
    <format dxfId="1123">
      <pivotArea type="all" dataOnly="0" outline="0" fieldPosition="0"/>
    </format>
    <format dxfId="1122">
      <pivotArea type="all" dataOnly="0" outline="0" fieldPosition="0"/>
    </format>
    <format dxfId="1121">
      <pivotArea field="56" type="button" dataOnly="0" labelOnly="1" outline="0" axis="axisRow" fieldPosition="0"/>
    </format>
    <format dxfId="1120">
      <pivotArea dataOnly="0" labelOnly="1" outline="0" fieldPosition="0">
        <references count="1">
          <reference field="4294967294" count="1">
            <x v="0"/>
          </reference>
        </references>
      </pivotArea>
    </format>
    <format dxfId="1119">
      <pivotArea field="56" type="button" dataOnly="0" labelOnly="1" outline="0" axis="axisRow" fieldPosition="0"/>
    </format>
    <format dxfId="1118">
      <pivotArea dataOnly="0" labelOnly="1" outline="0" fieldPosition="0">
        <references count="1">
          <reference field="4294967294" count="1">
            <x v="0"/>
          </reference>
        </references>
      </pivotArea>
    </format>
    <format dxfId="1117">
      <pivotArea field="56" type="button" dataOnly="0" labelOnly="1" outline="0" axis="axisRow" fieldPosition="0"/>
    </format>
    <format dxfId="1116">
      <pivotArea dataOnly="0" labelOnly="1" outline="0" fieldPosition="0">
        <references count="1">
          <reference field="4294967294" count="1">
            <x v="0"/>
          </reference>
        </references>
      </pivotArea>
    </format>
    <format dxfId="1115">
      <pivotArea type="all" dataOnly="0" outline="0" fieldPosition="0"/>
    </format>
    <format dxfId="1114">
      <pivotArea type="all" dataOnly="0" outline="0" fieldPosition="0"/>
    </format>
    <format dxfId="1113">
      <pivotArea type="all" dataOnly="0" outline="0" fieldPosition="0"/>
    </format>
    <format dxfId="1112">
      <pivotArea type="all" dataOnly="0" outline="0" fieldPosition="0"/>
    </format>
    <format dxfId="1111">
      <pivotArea outline="0" collapsedLevelsAreSubtotals="1" fieldPosition="0"/>
    </format>
    <format dxfId="1110">
      <pivotArea field="56" type="button" dataOnly="0" labelOnly="1" outline="0" axis="axisRow" fieldPosition="0"/>
    </format>
    <format dxfId="1109">
      <pivotArea dataOnly="0" labelOnly="1" fieldPosition="0">
        <references count="1">
          <reference field="56" count="6">
            <x v="0"/>
            <x v="2"/>
            <x v="4"/>
            <x v="8"/>
            <x v="12"/>
            <x v="14"/>
          </reference>
        </references>
      </pivotArea>
    </format>
    <format dxfId="1108">
      <pivotArea dataOnly="0" labelOnly="1" grandRow="1" outline="0" fieldPosition="0"/>
    </format>
    <format dxfId="1107">
      <pivotArea dataOnly="0" labelOnly="1" outline="0" axis="axisValues" fieldPosition="0"/>
    </format>
    <format dxfId="1106">
      <pivotArea type="all" dataOnly="0" outline="0" fieldPosition="0"/>
    </format>
    <format dxfId="1105">
      <pivotArea outline="0" collapsedLevelsAreSubtotals="1" fieldPosition="0"/>
    </format>
    <format dxfId="1104">
      <pivotArea field="56" type="button" dataOnly="0" labelOnly="1" outline="0" axis="axisRow" fieldPosition="0"/>
    </format>
    <format dxfId="1103">
      <pivotArea dataOnly="0" labelOnly="1" fieldPosition="0">
        <references count="1">
          <reference field="56" count="10">
            <x v="1"/>
            <x v="6"/>
            <x v="8"/>
            <x v="9"/>
            <x v="10"/>
            <x v="12"/>
            <x v="13"/>
            <x v="15"/>
            <x v="16"/>
            <x v="17"/>
          </reference>
        </references>
      </pivotArea>
    </format>
    <format dxfId="1102">
      <pivotArea dataOnly="0" labelOnly="1" grandRow="1" outline="0" fieldPosition="0"/>
    </format>
    <format dxfId="1101">
      <pivotArea dataOnly="0" labelOnly="1" outline="0" axis="axisValues" fieldPosition="0"/>
    </format>
    <format dxfId="1100">
      <pivotArea type="all" dataOnly="0" outline="0" fieldPosition="0"/>
    </format>
    <format dxfId="1099">
      <pivotArea outline="0" collapsedLevelsAreSubtotals="1" fieldPosition="0"/>
    </format>
    <format dxfId="1098">
      <pivotArea field="56" type="button" dataOnly="0" labelOnly="1" outline="0" axis="axisRow" fieldPosition="0"/>
    </format>
    <format dxfId="1097">
      <pivotArea dataOnly="0" labelOnly="1" fieldPosition="0">
        <references count="1">
          <reference field="56" count="10">
            <x v="1"/>
            <x v="6"/>
            <x v="8"/>
            <x v="9"/>
            <x v="10"/>
            <x v="12"/>
            <x v="13"/>
            <x v="15"/>
            <x v="16"/>
            <x v="17"/>
          </reference>
        </references>
      </pivotArea>
    </format>
    <format dxfId="1096">
      <pivotArea dataOnly="0" labelOnly="1" grandRow="1" outline="0" fieldPosition="0"/>
    </format>
    <format dxfId="10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D7C41978-6DDE-45B7-BDAF-F4DEC6796878}" name="PivotTable10"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62:B63" firstHeaderRow="1" firstDataRow="1" firstDataCol="0" rowPageCount="2" colPageCount="1"/>
  <pivotFields count="57">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8">
    <format dxfId="1156">
      <pivotArea type="all" dataOnly="0" outline="0" fieldPosition="0"/>
    </format>
    <format dxfId="1155">
      <pivotArea type="all" dataOnly="0" outline="0" fieldPosition="0"/>
    </format>
    <format dxfId="1154">
      <pivotArea type="all" dataOnly="0" outline="0" fieldPosition="0"/>
    </format>
    <format dxfId="1153">
      <pivotArea type="all" dataOnly="0" outline="0" fieldPosition="0"/>
    </format>
    <format dxfId="1152">
      <pivotArea type="all" dataOnly="0" outline="0" fieldPosition="0"/>
    </format>
    <format dxfId="1151">
      <pivotArea type="all" dataOnly="0" outline="0" fieldPosition="0"/>
    </format>
    <format dxfId="1150">
      <pivotArea type="all" dataOnly="0" outline="0" fieldPosition="0"/>
    </format>
    <format dxfId="1149">
      <pivotArea type="all" dataOnly="0" outline="0" fieldPosition="0"/>
    </format>
    <format dxfId="1148">
      <pivotArea type="all" dataOnly="0" outline="0" fieldPosition="0"/>
    </format>
    <format dxfId="1147">
      <pivotArea type="all" dataOnly="0" outline="0" fieldPosition="0"/>
    </format>
    <format dxfId="1146">
      <pivotArea type="all" dataOnly="0" outline="0" fieldPosition="0"/>
    </format>
    <format dxfId="1145">
      <pivotArea outline="0" collapsedLevelsAreSubtotals="1" fieldPosition="0"/>
    </format>
    <format dxfId="1144">
      <pivotArea dataOnly="0" labelOnly="1" outline="0" axis="axisValues" fieldPosition="0"/>
    </format>
    <format dxfId="1143">
      <pivotArea type="all" dataOnly="0" outline="0" fieldPosition="0"/>
    </format>
    <format dxfId="1142">
      <pivotArea outline="0" collapsedLevelsAreSubtotals="1" fieldPosition="0"/>
    </format>
    <format dxfId="1141">
      <pivotArea dataOnly="0" labelOnly="1" outline="0" axis="axisValues" fieldPosition="0"/>
    </format>
    <format dxfId="1140">
      <pivotArea type="all" dataOnly="0" outline="0" fieldPosition="0"/>
    </format>
    <format dxfId="1139">
      <pivotArea outline="0" collapsedLevelsAreSubtotals="1" fieldPosition="0"/>
    </format>
    <format dxfId="1138">
      <pivotArea dataOnly="0" labelOnly="1" outline="0" axis="axisValues" fieldPosition="0"/>
    </format>
    <format dxfId="1137">
      <pivotArea type="all" dataOnly="0" outline="0" fieldPosition="0"/>
    </format>
    <format dxfId="1136">
      <pivotArea outline="0" collapsedLevelsAreSubtotals="1" fieldPosition="0"/>
    </format>
    <format dxfId="1135">
      <pivotArea dataOnly="0" labelOnly="1" outline="0" axis="axisValues" fieldPosition="0"/>
    </format>
    <format dxfId="1134">
      <pivotArea type="all" dataOnly="0" outline="0" fieldPosition="0"/>
    </format>
    <format dxfId="1133">
      <pivotArea outline="0" collapsedLevelsAreSubtotals="1" fieldPosition="0"/>
    </format>
    <format dxfId="1132">
      <pivotArea dataOnly="0" labelOnly="1" outline="0" axis="axisValues" fieldPosition="0"/>
    </format>
    <format dxfId="1131">
      <pivotArea type="all" dataOnly="0" outline="0" fieldPosition="0"/>
    </format>
    <format dxfId="1130">
      <pivotArea outline="0" collapsedLevelsAreSubtotals="1" fieldPosition="0"/>
    </format>
    <format dxfId="11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CC798276-8320-4110-AEF4-EE5288CA3B74}" name="PivotTable17"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80:H81"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8">
    <format dxfId="1184">
      <pivotArea type="all" dataOnly="0" outline="0" fieldPosition="0"/>
    </format>
    <format dxfId="1183">
      <pivotArea type="all" dataOnly="0" outline="0" fieldPosition="0"/>
    </format>
    <format dxfId="1182">
      <pivotArea type="all" dataOnly="0" outline="0" fieldPosition="0"/>
    </format>
    <format dxfId="1181">
      <pivotArea type="all" dataOnly="0" outline="0" fieldPosition="0"/>
    </format>
    <format dxfId="1180">
      <pivotArea type="all" dataOnly="0" outline="0" fieldPosition="0"/>
    </format>
    <format dxfId="1179">
      <pivotArea type="all" dataOnly="0" outline="0" fieldPosition="0"/>
    </format>
    <format dxfId="1178">
      <pivotArea type="all" dataOnly="0" outline="0" fieldPosition="0"/>
    </format>
    <format dxfId="1177">
      <pivotArea type="all" dataOnly="0" outline="0" fieldPosition="0"/>
    </format>
    <format dxfId="1176">
      <pivotArea type="all" dataOnly="0" outline="0" fieldPosition="0"/>
    </format>
    <format dxfId="1175">
      <pivotArea type="all" dataOnly="0" outline="0" fieldPosition="0"/>
    </format>
    <format dxfId="1174">
      <pivotArea type="all" dataOnly="0" outline="0" fieldPosition="0"/>
    </format>
    <format dxfId="1173">
      <pivotArea outline="0" collapsedLevelsAreSubtotals="1" fieldPosition="0"/>
    </format>
    <format dxfId="1172">
      <pivotArea dataOnly="0" labelOnly="1" outline="0" axis="axisValues" fieldPosition="0"/>
    </format>
    <format dxfId="1171">
      <pivotArea type="all" dataOnly="0" outline="0" fieldPosition="0"/>
    </format>
    <format dxfId="1170">
      <pivotArea outline="0" collapsedLevelsAreSubtotals="1" fieldPosition="0"/>
    </format>
    <format dxfId="1169">
      <pivotArea dataOnly="0" labelOnly="1" outline="0" axis="axisValues" fieldPosition="0"/>
    </format>
    <format dxfId="1168">
      <pivotArea type="all" dataOnly="0" outline="0" fieldPosition="0"/>
    </format>
    <format dxfId="1167">
      <pivotArea outline="0" collapsedLevelsAreSubtotals="1" fieldPosition="0"/>
    </format>
    <format dxfId="1166">
      <pivotArea dataOnly="0" labelOnly="1" outline="0" axis="axisValues" fieldPosition="0"/>
    </format>
    <format dxfId="1165">
      <pivotArea type="all" dataOnly="0" outline="0" fieldPosition="0"/>
    </format>
    <format dxfId="1164">
      <pivotArea outline="0" collapsedLevelsAreSubtotals="1" fieldPosition="0"/>
    </format>
    <format dxfId="1163">
      <pivotArea dataOnly="0" labelOnly="1" outline="0" axis="axisValues" fieldPosition="0"/>
    </format>
    <format dxfId="1162">
      <pivotArea type="all" dataOnly="0" outline="0" fieldPosition="0"/>
    </format>
    <format dxfId="1161">
      <pivotArea outline="0" collapsedLevelsAreSubtotals="1" fieldPosition="0"/>
    </format>
    <format dxfId="1160">
      <pivotArea dataOnly="0" labelOnly="1" outline="0" axis="axisValues" fieldPosition="0"/>
    </format>
    <format dxfId="1159">
      <pivotArea type="all" dataOnly="0" outline="0" fieldPosition="0"/>
    </format>
    <format dxfId="1158">
      <pivotArea outline="0" collapsedLevelsAreSubtotals="1" fieldPosition="0"/>
    </format>
    <format dxfId="11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EB7C6B7A-0359-4A98-A41B-620A412F36DC}" name="PivotTable53"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25:E12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1212">
      <pivotArea type="all" dataOnly="0" outline="0" fieldPosition="0"/>
    </format>
    <format dxfId="1211">
      <pivotArea type="all" dataOnly="0" outline="0" fieldPosition="0"/>
    </format>
    <format dxfId="1210">
      <pivotArea type="all" dataOnly="0" outline="0" fieldPosition="0"/>
    </format>
    <format dxfId="1209">
      <pivotArea type="all" dataOnly="0" outline="0" fieldPosition="0"/>
    </format>
    <format dxfId="1208">
      <pivotArea type="all" dataOnly="0" outline="0" fieldPosition="0"/>
    </format>
    <format dxfId="1207">
      <pivotArea type="all" dataOnly="0" outline="0" fieldPosition="0"/>
    </format>
    <format dxfId="1206">
      <pivotArea type="all" dataOnly="0" outline="0" fieldPosition="0"/>
    </format>
    <format dxfId="1205">
      <pivotArea type="all" dataOnly="0" outline="0" fieldPosition="0"/>
    </format>
    <format dxfId="1204">
      <pivotArea type="all" dataOnly="0" outline="0" fieldPosition="0"/>
    </format>
    <format dxfId="1203">
      <pivotArea type="all" dataOnly="0" outline="0" fieldPosition="0"/>
    </format>
    <format dxfId="1202">
      <pivotArea type="all" dataOnly="0" outline="0" fieldPosition="0"/>
    </format>
    <format dxfId="1201">
      <pivotArea outline="0" collapsedLevelsAreSubtotals="1" fieldPosition="0"/>
    </format>
    <format dxfId="1200">
      <pivotArea dataOnly="0" labelOnly="1" outline="0" axis="axisValues" fieldPosition="0"/>
    </format>
    <format dxfId="1199">
      <pivotArea type="all" dataOnly="0" outline="0" fieldPosition="0"/>
    </format>
    <format dxfId="1198">
      <pivotArea outline="0" collapsedLevelsAreSubtotals="1" fieldPosition="0"/>
    </format>
    <format dxfId="1197">
      <pivotArea dataOnly="0" labelOnly="1" outline="0" axis="axisValues" fieldPosition="0"/>
    </format>
    <format dxfId="1196">
      <pivotArea type="all" dataOnly="0" outline="0" fieldPosition="0"/>
    </format>
    <format dxfId="1195">
      <pivotArea outline="0" collapsedLevelsAreSubtotals="1" fieldPosition="0"/>
    </format>
    <format dxfId="1194">
      <pivotArea dataOnly="0" labelOnly="1" outline="0" axis="axisValues" fieldPosition="0"/>
    </format>
    <format dxfId="1193">
      <pivotArea type="all" dataOnly="0" outline="0" fieldPosition="0"/>
    </format>
    <format dxfId="1192">
      <pivotArea outline="0" collapsedLevelsAreSubtotals="1" fieldPosition="0"/>
    </format>
    <format dxfId="1191">
      <pivotArea dataOnly="0" labelOnly="1" outline="0" axis="axisValues" fieldPosition="0"/>
    </format>
    <format dxfId="1190">
      <pivotArea type="all" dataOnly="0" outline="0" fieldPosition="0"/>
    </format>
    <format dxfId="1189">
      <pivotArea outline="0" collapsedLevelsAreSubtotals="1" fieldPosition="0"/>
    </format>
    <format dxfId="1188">
      <pivotArea dataOnly="0" labelOnly="1" outline="0" axis="axisValues" fieldPosition="0"/>
    </format>
    <format dxfId="1187">
      <pivotArea type="all" dataOnly="0" outline="0" fieldPosition="0"/>
    </format>
    <format dxfId="1186">
      <pivotArea outline="0" collapsedLevelsAreSubtotals="1" fieldPosition="0"/>
    </format>
    <format dxfId="11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95A23E8B-A668-4DDD-914C-DCD1D067B62C}" name="PivotTable62"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55:B156"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240">
      <pivotArea type="all" dataOnly="0" outline="0" fieldPosition="0"/>
    </format>
    <format dxfId="1239">
      <pivotArea type="all" dataOnly="0" outline="0" fieldPosition="0"/>
    </format>
    <format dxfId="1238">
      <pivotArea type="all" dataOnly="0" outline="0" fieldPosition="0"/>
    </format>
    <format dxfId="1237">
      <pivotArea type="all" dataOnly="0" outline="0" fieldPosition="0"/>
    </format>
    <format dxfId="1236">
      <pivotArea type="all" dataOnly="0" outline="0" fieldPosition="0"/>
    </format>
    <format dxfId="1235">
      <pivotArea type="all" dataOnly="0" outline="0" fieldPosition="0"/>
    </format>
    <format dxfId="1234">
      <pivotArea type="all" dataOnly="0" outline="0" fieldPosition="0"/>
    </format>
    <format dxfId="1233">
      <pivotArea type="all" dataOnly="0" outline="0" fieldPosition="0"/>
    </format>
    <format dxfId="1232">
      <pivotArea type="all" dataOnly="0" outline="0" fieldPosition="0"/>
    </format>
    <format dxfId="1231">
      <pivotArea type="all" dataOnly="0" outline="0" fieldPosition="0"/>
    </format>
    <format dxfId="1230">
      <pivotArea type="all" dataOnly="0" outline="0" fieldPosition="0"/>
    </format>
    <format dxfId="1229">
      <pivotArea outline="0" collapsedLevelsAreSubtotals="1" fieldPosition="0"/>
    </format>
    <format dxfId="1228">
      <pivotArea dataOnly="0" labelOnly="1" outline="0" axis="axisValues" fieldPosition="0"/>
    </format>
    <format dxfId="1227">
      <pivotArea type="all" dataOnly="0" outline="0" fieldPosition="0"/>
    </format>
    <format dxfId="1226">
      <pivotArea outline="0" collapsedLevelsAreSubtotals="1" fieldPosition="0"/>
    </format>
    <format dxfId="1225">
      <pivotArea dataOnly="0" labelOnly="1" outline="0" axis="axisValues" fieldPosition="0"/>
    </format>
    <format dxfId="1224">
      <pivotArea type="all" dataOnly="0" outline="0" fieldPosition="0"/>
    </format>
    <format dxfId="1223">
      <pivotArea outline="0" collapsedLevelsAreSubtotals="1" fieldPosition="0"/>
    </format>
    <format dxfId="1222">
      <pivotArea dataOnly="0" labelOnly="1" outline="0" axis="axisValues" fieldPosition="0"/>
    </format>
    <format dxfId="1221">
      <pivotArea type="all" dataOnly="0" outline="0" fieldPosition="0"/>
    </format>
    <format dxfId="1220">
      <pivotArea outline="0" collapsedLevelsAreSubtotals="1" fieldPosition="0"/>
    </format>
    <format dxfId="1219">
      <pivotArea dataOnly="0" labelOnly="1" outline="0" axis="axisValues" fieldPosition="0"/>
    </format>
    <format dxfId="1218">
      <pivotArea type="all" dataOnly="0" outline="0" fieldPosition="0"/>
    </format>
    <format dxfId="1217">
      <pivotArea outline="0" collapsedLevelsAreSubtotals="1" fieldPosition="0"/>
    </format>
    <format dxfId="1216">
      <pivotArea dataOnly="0" labelOnly="1" outline="0" axis="axisValues" fieldPosition="0"/>
    </format>
    <format dxfId="1215">
      <pivotArea type="all" dataOnly="0" outline="0" fieldPosition="0"/>
    </format>
    <format dxfId="1214">
      <pivotArea outline="0" collapsedLevelsAreSubtotals="1" fieldPosition="0"/>
    </format>
    <format dxfId="12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79583A25-5328-43BE-A13C-6BE54D9ED06B}" name="PivotTable21"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80:B81"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8">
    <format dxfId="1268">
      <pivotArea type="all" dataOnly="0" outline="0" fieldPosition="0"/>
    </format>
    <format dxfId="1267">
      <pivotArea type="all" dataOnly="0" outline="0" fieldPosition="0"/>
    </format>
    <format dxfId="1266">
      <pivotArea type="all" dataOnly="0" outline="0" fieldPosition="0"/>
    </format>
    <format dxfId="1265">
      <pivotArea type="all" dataOnly="0" outline="0" fieldPosition="0"/>
    </format>
    <format dxfId="1264">
      <pivotArea type="all" dataOnly="0" outline="0" fieldPosition="0"/>
    </format>
    <format dxfId="1263">
      <pivotArea type="all" dataOnly="0" outline="0" fieldPosition="0"/>
    </format>
    <format dxfId="1262">
      <pivotArea type="all" dataOnly="0" outline="0" fieldPosition="0"/>
    </format>
    <format dxfId="1261">
      <pivotArea type="all" dataOnly="0" outline="0" fieldPosition="0"/>
    </format>
    <format dxfId="1260">
      <pivotArea type="all" dataOnly="0" outline="0" fieldPosition="0"/>
    </format>
    <format dxfId="1259">
      <pivotArea type="all" dataOnly="0" outline="0" fieldPosition="0"/>
    </format>
    <format dxfId="1258">
      <pivotArea type="all" dataOnly="0" outline="0" fieldPosition="0"/>
    </format>
    <format dxfId="1257">
      <pivotArea outline="0" collapsedLevelsAreSubtotals="1" fieldPosition="0"/>
    </format>
    <format dxfId="1256">
      <pivotArea dataOnly="0" labelOnly="1" outline="0" axis="axisValues" fieldPosition="0"/>
    </format>
    <format dxfId="1255">
      <pivotArea type="all" dataOnly="0" outline="0" fieldPosition="0"/>
    </format>
    <format dxfId="1254">
      <pivotArea outline="0" collapsedLevelsAreSubtotals="1" fieldPosition="0"/>
    </format>
    <format dxfId="1253">
      <pivotArea dataOnly="0" labelOnly="1" outline="0" axis="axisValues" fieldPosition="0"/>
    </format>
    <format dxfId="1252">
      <pivotArea type="all" dataOnly="0" outline="0" fieldPosition="0"/>
    </format>
    <format dxfId="1251">
      <pivotArea outline="0" collapsedLevelsAreSubtotals="1" fieldPosition="0"/>
    </format>
    <format dxfId="1250">
      <pivotArea dataOnly="0" labelOnly="1" outline="0" axis="axisValues" fieldPosition="0"/>
    </format>
    <format dxfId="1249">
      <pivotArea type="all" dataOnly="0" outline="0" fieldPosition="0"/>
    </format>
    <format dxfId="1248">
      <pivotArea outline="0" collapsedLevelsAreSubtotals="1" fieldPosition="0"/>
    </format>
    <format dxfId="1247">
      <pivotArea dataOnly="0" labelOnly="1" outline="0" axis="axisValues" fieldPosition="0"/>
    </format>
    <format dxfId="1246">
      <pivotArea type="all" dataOnly="0" outline="0" fieldPosition="0"/>
    </format>
    <format dxfId="1245">
      <pivotArea outline="0" collapsedLevelsAreSubtotals="1" fieldPosition="0"/>
    </format>
    <format dxfId="1244">
      <pivotArea dataOnly="0" labelOnly="1" outline="0" axis="axisValues" fieldPosition="0"/>
    </format>
    <format dxfId="1243">
      <pivotArea type="all" dataOnly="0" outline="0" fieldPosition="0"/>
    </format>
    <format dxfId="1242">
      <pivotArea outline="0" collapsedLevelsAreSubtotals="1" fieldPosition="0"/>
    </format>
    <format dxfId="12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A9B8046A-D900-4475-9445-0F07B269A1DE}" name="PivotTable42"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07:E10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axis="axisPage" multipleItemSelectionAllowed="1" showAll="0" defaultSubtotal="0">
      <items count="6">
        <item x="1"/>
        <item h="1" x="2"/>
        <item h="1" x="0"/>
        <item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1296">
      <pivotArea type="all" dataOnly="0" outline="0" fieldPosition="0"/>
    </format>
    <format dxfId="1295">
      <pivotArea type="all" dataOnly="0" outline="0" fieldPosition="0"/>
    </format>
    <format dxfId="1294">
      <pivotArea type="all" dataOnly="0" outline="0" fieldPosition="0"/>
    </format>
    <format dxfId="1293">
      <pivotArea type="all" dataOnly="0" outline="0" fieldPosition="0"/>
    </format>
    <format dxfId="1292">
      <pivotArea type="all" dataOnly="0" outline="0" fieldPosition="0"/>
    </format>
    <format dxfId="1291">
      <pivotArea type="all" dataOnly="0" outline="0" fieldPosition="0"/>
    </format>
    <format dxfId="1290">
      <pivotArea type="all" dataOnly="0" outline="0" fieldPosition="0"/>
    </format>
    <format dxfId="1289">
      <pivotArea type="all" dataOnly="0" outline="0" fieldPosition="0"/>
    </format>
    <format dxfId="1288">
      <pivotArea type="all" dataOnly="0" outline="0" fieldPosition="0"/>
    </format>
    <format dxfId="1287">
      <pivotArea type="all" dataOnly="0" outline="0" fieldPosition="0"/>
    </format>
    <format dxfId="1286">
      <pivotArea type="all" dataOnly="0" outline="0" fieldPosition="0"/>
    </format>
    <format dxfId="1285">
      <pivotArea outline="0" collapsedLevelsAreSubtotals="1" fieldPosition="0"/>
    </format>
    <format dxfId="1284">
      <pivotArea dataOnly="0" labelOnly="1" outline="0" axis="axisValues" fieldPosition="0"/>
    </format>
    <format dxfId="1283">
      <pivotArea type="all" dataOnly="0" outline="0" fieldPosition="0"/>
    </format>
    <format dxfId="1282">
      <pivotArea outline="0" collapsedLevelsAreSubtotals="1" fieldPosition="0"/>
    </format>
    <format dxfId="1281">
      <pivotArea dataOnly="0" labelOnly="1" outline="0" axis="axisValues" fieldPosition="0"/>
    </format>
    <format dxfId="1280">
      <pivotArea type="all" dataOnly="0" outline="0" fieldPosition="0"/>
    </format>
    <format dxfId="1279">
      <pivotArea outline="0" collapsedLevelsAreSubtotals="1" fieldPosition="0"/>
    </format>
    <format dxfId="1278">
      <pivotArea dataOnly="0" labelOnly="1" outline="0" axis="axisValues" fieldPosition="0"/>
    </format>
    <format dxfId="1277">
      <pivotArea type="all" dataOnly="0" outline="0" fieldPosition="0"/>
    </format>
    <format dxfId="1276">
      <pivotArea outline="0" collapsedLevelsAreSubtotals="1" fieldPosition="0"/>
    </format>
    <format dxfId="1275">
      <pivotArea dataOnly="0" labelOnly="1" outline="0" axis="axisValues" fieldPosition="0"/>
    </format>
    <format dxfId="1274">
      <pivotArea type="all" dataOnly="0" outline="0" fieldPosition="0"/>
    </format>
    <format dxfId="1273">
      <pivotArea outline="0" collapsedLevelsAreSubtotals="1" fieldPosition="0"/>
    </format>
    <format dxfId="1272">
      <pivotArea dataOnly="0" labelOnly="1" outline="0" axis="axisValues" fieldPosition="0"/>
    </format>
    <format dxfId="1271">
      <pivotArea type="all" dataOnly="0" outline="0" fieldPosition="0"/>
    </format>
    <format dxfId="1270">
      <pivotArea outline="0" collapsedLevelsAreSubtotals="1" fieldPosition="0"/>
    </format>
    <format dxfId="12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781AB292-95C3-4778-A741-4ADCC8389B9C}" name="PivotTable85"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45:H456" firstHeaderRow="0" firstDataRow="1" firstDataCol="1" rowPageCount="1" colPageCount="1"/>
  <pivotFields count="68">
    <pivotField showAll="0" defaultSubtotal="0"/>
    <pivotField multipleItemSelectionAllowed="1" showAll="0" defaultSubtotal="0"/>
    <pivotField multipleItemSelectionAllowed="1" showAll="0" defaultSubtotal="0"/>
    <pivotField showAll="0"/>
    <pivotField showAll="0"/>
    <pivotField showAll="0" defaultSubtotal="0"/>
    <pivotField showAll="0" defaultSubtotal="0"/>
    <pivotField axis="axisPage" multipleItemSelectionAllowed="1" showAll="0" defaultSubtotal="0">
      <items count="5">
        <item h="1" x="0"/>
        <item h="1" x="1"/>
        <item h="1" x="2"/>
        <item x="3"/>
        <item x="4"/>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numFmtId="164" showAll="0"/>
    <pivotField numFmtId="164" showAll="0"/>
    <pivotField numFmtId="164" showAll="0"/>
    <pivotField numFmtId="164" showAll="0"/>
    <pivotField numFmtId="164" showAll="0"/>
    <pivotField numFmtId="164" showAll="0"/>
    <pivotField dataField="1" numFmtId="164" showAll="0"/>
    <pivotField dataField="1" numFmtId="164" showAll="0"/>
    <pivotField dataField="1" numFmtId="164" showAll="0"/>
    <pivotField dataField="1" numFmtId="164" showAll="0"/>
    <pivotField dataField="1" numFmtId="164"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ataField="1" dragToRow="0" dragToCol="0" dragToPage="0" showAll="0" defaultSubtotal="0"/>
  </pivotFields>
  <rowFields count="1">
    <field x="56"/>
  </rowFields>
  <rowItems count="11">
    <i>
      <x v="2"/>
    </i>
    <i>
      <x v="3"/>
    </i>
    <i>
      <x v="8"/>
    </i>
    <i>
      <x v="9"/>
    </i>
    <i>
      <x v="10"/>
    </i>
    <i>
      <x v="12"/>
    </i>
    <i>
      <x v="14"/>
    </i>
    <i>
      <x v="15"/>
    </i>
    <i>
      <x v="17"/>
    </i>
    <i>
      <x v="18"/>
    </i>
    <i t="grand">
      <x/>
    </i>
  </rowItems>
  <colFields count="1">
    <field x="-2"/>
  </colFields>
  <colItems count="6">
    <i>
      <x/>
    </i>
    <i i="1">
      <x v="1"/>
    </i>
    <i i="2">
      <x v="2"/>
    </i>
    <i i="3">
      <x v="3"/>
    </i>
    <i i="4">
      <x v="4"/>
    </i>
    <i i="5">
      <x v="5"/>
    </i>
  </colItems>
  <pageFields count="1">
    <pageField fld="7" hier="-1"/>
  </pageFields>
  <dataFields count="6">
    <dataField name="Sum of 2025/26 (6)" fld="48" baseField="0" baseItem="0"/>
    <dataField name="Sum of 2026/27 (7)" fld="49" baseField="0" baseItem="0"/>
    <dataField name="Sum of 2027/28 (8)" fld="50" baseField="0" baseItem="0"/>
    <dataField name="Sum of 2028/29 (9)" fld="51" baseField="0" baseItem="0"/>
    <dataField name="Sum of 2029/30 (10)" fld="52" baseField="0" baseItem="0"/>
    <dataField name="Sum of 6-10 year total" fld="67" baseField="0" baseItem="0" numFmtId="164"/>
  </dataFields>
  <formats count="31">
    <format dxfId="1327">
      <pivotArea type="all" dataOnly="0" outline="0" fieldPosition="0"/>
    </format>
    <format dxfId="1326">
      <pivotArea type="all" dataOnly="0" outline="0" fieldPosition="0"/>
    </format>
    <format dxfId="1325">
      <pivotArea type="all" dataOnly="0" outline="0" fieldPosition="0"/>
    </format>
    <format dxfId="1324">
      <pivotArea type="all" dataOnly="0" outline="0" fieldPosition="0"/>
    </format>
    <format dxfId="1323">
      <pivotArea type="all" dataOnly="0" outline="0" fieldPosition="0"/>
    </format>
    <format dxfId="1322">
      <pivotArea type="all" dataOnly="0" outline="0" fieldPosition="0"/>
    </format>
    <format dxfId="1321">
      <pivotArea type="all" dataOnly="0" outline="0" fieldPosition="0"/>
    </format>
    <format dxfId="1320">
      <pivotArea field="56" type="button" dataOnly="0" labelOnly="1" outline="0" axis="axisRow" fieldPosition="0"/>
    </format>
    <format dxfId="1319">
      <pivotArea field="56" type="button" dataOnly="0" labelOnly="1" outline="0" axis="axisRow" fieldPosition="0"/>
    </format>
    <format dxfId="1318">
      <pivotArea field="56" type="button" dataOnly="0" labelOnly="1" outline="0" axis="axisRow" fieldPosition="0"/>
    </format>
    <format dxfId="1317">
      <pivotArea type="all" dataOnly="0" outline="0" fieldPosition="0"/>
    </format>
    <format dxfId="1316">
      <pivotArea type="all" dataOnly="0" outline="0" fieldPosition="0"/>
    </format>
    <format dxfId="1315">
      <pivotArea type="all" dataOnly="0" outline="0" fieldPosition="0"/>
    </format>
    <format dxfId="1314">
      <pivotArea type="all" dataOnly="0" outline="0" fieldPosition="0"/>
    </format>
    <format dxfId="1313">
      <pivotArea outline="0" collapsedLevelsAreSubtotals="1" fieldPosition="0"/>
    </format>
    <format dxfId="1312">
      <pivotArea field="56" type="button" dataOnly="0" labelOnly="1" outline="0" axis="axisRow" fieldPosition="0"/>
    </format>
    <format dxfId="1311">
      <pivotArea dataOnly="0" labelOnly="1" fieldPosition="0">
        <references count="1">
          <reference field="56" count="4">
            <x v="3"/>
            <x v="5"/>
            <x v="9"/>
            <x v="11"/>
          </reference>
        </references>
      </pivotArea>
    </format>
    <format dxfId="1310">
      <pivotArea dataOnly="0" labelOnly="1" grandRow="1" outline="0" fieldPosition="0"/>
    </format>
    <format dxfId="1309">
      <pivotArea outline="0" collapsedLevelsAreSubtotals="1" fieldPosition="0"/>
    </format>
    <format dxfId="1308">
      <pivotArea type="all" dataOnly="0" outline="0" fieldPosition="0"/>
    </format>
    <format dxfId="1307">
      <pivotArea outline="0" collapsedLevelsAreSubtotals="1" fieldPosition="0"/>
    </format>
    <format dxfId="1306">
      <pivotArea field="56" type="button" dataOnly="0" labelOnly="1" outline="0" axis="axisRow" fieldPosition="0"/>
    </format>
    <format dxfId="1305">
      <pivotArea dataOnly="0" labelOnly="1" fieldPosition="0">
        <references count="1">
          <reference field="56" count="10">
            <x v="2"/>
            <x v="3"/>
            <x v="8"/>
            <x v="9"/>
            <x v="10"/>
            <x v="12"/>
            <x v="14"/>
            <x v="15"/>
            <x v="17"/>
            <x v="18"/>
          </reference>
        </references>
      </pivotArea>
    </format>
    <format dxfId="1304">
      <pivotArea dataOnly="0" labelOnly="1" grandRow="1" outline="0" fieldPosition="0"/>
    </format>
    <format dxfId="1303">
      <pivotArea dataOnly="0" labelOnly="1" outline="0" fieldPosition="0">
        <references count="1">
          <reference field="4294967294" count="6">
            <x v="0"/>
            <x v="1"/>
            <x v="2"/>
            <x v="3"/>
            <x v="4"/>
            <x v="5"/>
          </reference>
        </references>
      </pivotArea>
    </format>
    <format dxfId="1302">
      <pivotArea type="all" dataOnly="0" outline="0" fieldPosition="0"/>
    </format>
    <format dxfId="1301">
      <pivotArea outline="0" collapsedLevelsAreSubtotals="1" fieldPosition="0"/>
    </format>
    <format dxfId="1300">
      <pivotArea field="56" type="button" dataOnly="0" labelOnly="1" outline="0" axis="axisRow" fieldPosition="0"/>
    </format>
    <format dxfId="1299">
      <pivotArea dataOnly="0" labelOnly="1" fieldPosition="0">
        <references count="1">
          <reference field="56" count="10">
            <x v="2"/>
            <x v="3"/>
            <x v="8"/>
            <x v="9"/>
            <x v="10"/>
            <x v="12"/>
            <x v="14"/>
            <x v="15"/>
            <x v="17"/>
            <x v="18"/>
          </reference>
        </references>
      </pivotArea>
    </format>
    <format dxfId="1298">
      <pivotArea dataOnly="0" labelOnly="1" grandRow="1" outline="0" fieldPosition="0"/>
    </format>
    <format dxfId="1297">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98676A78-041F-4BF8-9408-9D8A9A2E03BC}" name="PivotTable55"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99:B10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1355">
      <pivotArea type="all" dataOnly="0" outline="0" fieldPosition="0"/>
    </format>
    <format dxfId="1354">
      <pivotArea type="all" dataOnly="0" outline="0" fieldPosition="0"/>
    </format>
    <format dxfId="1353">
      <pivotArea type="all" dataOnly="0" outline="0" fieldPosition="0"/>
    </format>
    <format dxfId="1352">
      <pivotArea type="all" dataOnly="0" outline="0" fieldPosition="0"/>
    </format>
    <format dxfId="1351">
      <pivotArea type="all" dataOnly="0" outline="0" fieldPosition="0"/>
    </format>
    <format dxfId="1350">
      <pivotArea type="all" dataOnly="0" outline="0" fieldPosition="0"/>
    </format>
    <format dxfId="1349">
      <pivotArea type="all" dataOnly="0" outline="0" fieldPosition="0"/>
    </format>
    <format dxfId="1348">
      <pivotArea type="all" dataOnly="0" outline="0" fieldPosition="0"/>
    </format>
    <format dxfId="1347">
      <pivotArea type="all" dataOnly="0" outline="0" fieldPosition="0"/>
    </format>
    <format dxfId="1346">
      <pivotArea type="all" dataOnly="0" outline="0" fieldPosition="0"/>
    </format>
    <format dxfId="1345">
      <pivotArea type="all" dataOnly="0" outline="0" fieldPosition="0"/>
    </format>
    <format dxfId="1344">
      <pivotArea outline="0" collapsedLevelsAreSubtotals="1" fieldPosition="0"/>
    </format>
    <format dxfId="1343">
      <pivotArea dataOnly="0" labelOnly="1" outline="0" axis="axisValues" fieldPosition="0"/>
    </format>
    <format dxfId="1342">
      <pivotArea type="all" dataOnly="0" outline="0" fieldPosition="0"/>
    </format>
    <format dxfId="1341">
      <pivotArea outline="0" collapsedLevelsAreSubtotals="1" fieldPosition="0"/>
    </format>
    <format dxfId="1340">
      <pivotArea dataOnly="0" labelOnly="1" outline="0" axis="axisValues" fieldPosition="0"/>
    </format>
    <format dxfId="1339">
      <pivotArea type="all" dataOnly="0" outline="0" fieldPosition="0"/>
    </format>
    <format dxfId="1338">
      <pivotArea outline="0" collapsedLevelsAreSubtotals="1" fieldPosition="0"/>
    </format>
    <format dxfId="1337">
      <pivotArea dataOnly="0" labelOnly="1" outline="0" axis="axisValues" fieldPosition="0"/>
    </format>
    <format dxfId="1336">
      <pivotArea type="all" dataOnly="0" outline="0" fieldPosition="0"/>
    </format>
    <format dxfId="1335">
      <pivotArea outline="0" collapsedLevelsAreSubtotals="1" fieldPosition="0"/>
    </format>
    <format dxfId="1334">
      <pivotArea dataOnly="0" labelOnly="1" outline="0" axis="axisValues" fieldPosition="0"/>
    </format>
    <format dxfId="1333">
      <pivotArea type="all" dataOnly="0" outline="0" fieldPosition="0"/>
    </format>
    <format dxfId="1332">
      <pivotArea outline="0" collapsedLevelsAreSubtotals="1" fieldPosition="0"/>
    </format>
    <format dxfId="1331">
      <pivotArea dataOnly="0" labelOnly="1" outline="0" axis="axisValues" fieldPosition="0"/>
    </format>
    <format dxfId="1330">
      <pivotArea type="all" dataOnly="0" outline="0" fieldPosition="0"/>
    </format>
    <format dxfId="1329">
      <pivotArea outline="0" collapsedLevelsAreSubtotals="1" fieldPosition="0"/>
    </format>
    <format dxfId="13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2B76C95E-5125-4EE1-9996-6782E32783C4}" name="PivotTable48"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99:H100"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h="1" x="1"/>
        <item x="2"/>
        <item h="1"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1383">
      <pivotArea type="all" dataOnly="0" outline="0" fieldPosition="0"/>
    </format>
    <format dxfId="1382">
      <pivotArea type="all" dataOnly="0" outline="0" fieldPosition="0"/>
    </format>
    <format dxfId="1381">
      <pivotArea type="all" dataOnly="0" outline="0" fieldPosition="0"/>
    </format>
    <format dxfId="1380">
      <pivotArea type="all" dataOnly="0" outline="0" fieldPosition="0"/>
    </format>
    <format dxfId="1379">
      <pivotArea type="all" dataOnly="0" outline="0" fieldPosition="0"/>
    </format>
    <format dxfId="1378">
      <pivotArea type="all" dataOnly="0" outline="0" fieldPosition="0"/>
    </format>
    <format dxfId="1377">
      <pivotArea type="all" dataOnly="0" outline="0" fieldPosition="0"/>
    </format>
    <format dxfId="1376">
      <pivotArea type="all" dataOnly="0" outline="0" fieldPosition="0"/>
    </format>
    <format dxfId="1375">
      <pivotArea type="all" dataOnly="0" outline="0" fieldPosition="0"/>
    </format>
    <format dxfId="1374">
      <pivotArea type="all" dataOnly="0" outline="0" fieldPosition="0"/>
    </format>
    <format dxfId="1373">
      <pivotArea type="all" dataOnly="0" outline="0" fieldPosition="0"/>
    </format>
    <format dxfId="1372">
      <pivotArea outline="0" collapsedLevelsAreSubtotals="1" fieldPosition="0"/>
    </format>
    <format dxfId="1371">
      <pivotArea dataOnly="0" labelOnly="1" outline="0" axis="axisValues" fieldPosition="0"/>
    </format>
    <format dxfId="1370">
      <pivotArea type="all" dataOnly="0" outline="0" fieldPosition="0"/>
    </format>
    <format dxfId="1369">
      <pivotArea outline="0" collapsedLevelsAreSubtotals="1" fieldPosition="0"/>
    </format>
    <format dxfId="1368">
      <pivotArea dataOnly="0" labelOnly="1" outline="0" axis="axisValues" fieldPosition="0"/>
    </format>
    <format dxfId="1367">
      <pivotArea type="all" dataOnly="0" outline="0" fieldPosition="0"/>
    </format>
    <format dxfId="1366">
      <pivotArea outline="0" collapsedLevelsAreSubtotals="1" fieldPosition="0"/>
    </format>
    <format dxfId="1365">
      <pivotArea dataOnly="0" labelOnly="1" outline="0" axis="axisValues" fieldPosition="0"/>
    </format>
    <format dxfId="1364">
      <pivotArea type="all" dataOnly="0" outline="0" fieldPosition="0"/>
    </format>
    <format dxfId="1363">
      <pivotArea outline="0" collapsedLevelsAreSubtotals="1" fieldPosition="0"/>
    </format>
    <format dxfId="1362">
      <pivotArea dataOnly="0" labelOnly="1" outline="0" axis="axisValues" fieldPosition="0"/>
    </format>
    <format dxfId="1361">
      <pivotArea type="all" dataOnly="0" outline="0" fieldPosition="0"/>
    </format>
    <format dxfId="1360">
      <pivotArea outline="0" collapsedLevelsAreSubtotals="1" fieldPosition="0"/>
    </format>
    <format dxfId="1359">
      <pivotArea dataOnly="0" labelOnly="1" outline="0" axis="axisValues" fieldPosition="0"/>
    </format>
    <format dxfId="1358">
      <pivotArea type="all" dataOnly="0" outline="0" fieldPosition="0"/>
    </format>
    <format dxfId="1357">
      <pivotArea outline="0" collapsedLevelsAreSubtotals="1" fieldPosition="0"/>
    </format>
    <format dxfId="13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86E113-AB6B-4F77-B1C4-30F4218910B9}" name="PivotTable34"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55:F258" firstHeaderRow="1" firstDataRow="1" firstDataCol="1" rowPageCount="1" colPageCount="1"/>
  <pivotFields count="6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m="1" x="5"/>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showAll="0">
      <items count="3">
        <item x="1"/>
        <item x="0"/>
        <item t="default"/>
      </items>
    </pivotField>
    <pivotField axis="axisRow" showAll="0">
      <items count="3">
        <item x="1"/>
        <item x="0"/>
        <item t="default"/>
      </items>
    </pivotField>
    <pivotField showAll="0"/>
    <pivotField showAll="0"/>
    <pivotField showAll="0"/>
    <pivotField showAll="0"/>
    <pivotField showAll="0"/>
  </pivotFields>
  <rowFields count="1">
    <field x="60"/>
  </rowFields>
  <rowItems count="3">
    <i>
      <x/>
    </i>
    <i>
      <x v="1"/>
    </i>
    <i t="grand">
      <x/>
    </i>
  </rowItems>
  <colItems count="1">
    <i/>
  </colItems>
  <pageFields count="1">
    <pageField fld="7" hier="-1"/>
  </pageFields>
  <dataFields count="1">
    <dataField name="Sum of Net Dwellings" fld="40" baseField="0" baseItem="0"/>
  </dataFields>
  <formats count="26">
    <format dxfId="137">
      <pivotArea type="all" dataOnly="0" outline="0" fieldPosition="0"/>
    </format>
    <format dxfId="136">
      <pivotArea type="all" dataOnly="0" outline="0" fieldPosition="0"/>
    </format>
    <format dxfId="135">
      <pivotArea type="all" dataOnly="0" outline="0" fieldPosition="0"/>
    </format>
    <format dxfId="134">
      <pivotArea type="all" dataOnly="0" outline="0" fieldPosition="0"/>
    </format>
    <format dxfId="133">
      <pivotArea type="all" dataOnly="0" outline="0" fieldPosition="0"/>
    </format>
    <format dxfId="132">
      <pivotArea type="all" dataOnly="0" outline="0" fieldPosition="0"/>
    </format>
    <format dxfId="131">
      <pivotArea type="all" dataOnly="0" outline="0" fieldPosition="0"/>
    </format>
    <format dxfId="130">
      <pivotArea type="all" dataOnly="0" outline="0" fieldPosition="0"/>
    </format>
    <format dxfId="129">
      <pivotArea type="all" dataOnly="0" outline="0" fieldPosition="0"/>
    </format>
    <format dxfId="128">
      <pivotArea type="all" dataOnly="0" outline="0" fieldPosition="0"/>
    </format>
    <format dxfId="127">
      <pivotArea type="all" dataOnly="0" outline="0" fieldPosition="0"/>
    </format>
    <format dxfId="126">
      <pivotArea outline="0" collapsedLevelsAreSubtotals="1" fieldPosition="0"/>
    </format>
    <format dxfId="125">
      <pivotArea dataOnly="0" labelOnly="1" grandRow="1" outline="0" fieldPosition="0"/>
    </format>
    <format dxfId="124">
      <pivotArea dataOnly="0" labelOnly="1" outline="0" axis="axisValues" fieldPosition="0"/>
    </format>
    <format dxfId="123">
      <pivotArea type="all" dataOnly="0" outline="0" fieldPosition="0"/>
    </format>
    <format dxfId="122">
      <pivotArea outline="0" collapsedLevelsAreSubtotals="1" fieldPosition="0"/>
    </format>
    <format dxfId="121">
      <pivotArea field="60" type="button" dataOnly="0" labelOnly="1" outline="0" axis="axisRow" fieldPosition="0"/>
    </format>
    <format dxfId="120">
      <pivotArea dataOnly="0" labelOnly="1" fieldPosition="0">
        <references count="1">
          <reference field="60" count="0"/>
        </references>
      </pivotArea>
    </format>
    <format dxfId="119">
      <pivotArea dataOnly="0" labelOnly="1" grandRow="1" outline="0" fieldPosition="0"/>
    </format>
    <format dxfId="118">
      <pivotArea dataOnly="0" labelOnly="1" outline="0" axis="axisValues" fieldPosition="0"/>
    </format>
    <format dxfId="117">
      <pivotArea type="all" dataOnly="0" outline="0" fieldPosition="0"/>
    </format>
    <format dxfId="116">
      <pivotArea outline="0" collapsedLevelsAreSubtotals="1" fieldPosition="0"/>
    </format>
    <format dxfId="115">
      <pivotArea field="60" type="button" dataOnly="0" labelOnly="1" outline="0" axis="axisRow" fieldPosition="0"/>
    </format>
    <format dxfId="114">
      <pivotArea dataOnly="0" labelOnly="1" fieldPosition="0">
        <references count="1">
          <reference field="60" count="0"/>
        </references>
      </pivotArea>
    </format>
    <format dxfId="113">
      <pivotArea dataOnly="0" labelOnly="1" grandRow="1" outline="0" fieldPosition="0"/>
    </format>
    <format dxfId="1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5C6A35A3-B623-4F0C-879C-CC03B8056E34}" name="PivotTable46"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33:H134"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x="1"/>
        <item h="1" x="2"/>
        <item h="1" x="0"/>
        <item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Units Proposed" fld="31" baseField="0" baseItem="0"/>
  </dataFields>
  <formats count="28">
    <format dxfId="1411">
      <pivotArea type="all" dataOnly="0" outline="0" fieldPosition="0"/>
    </format>
    <format dxfId="1410">
      <pivotArea type="all" dataOnly="0" outline="0" fieldPosition="0"/>
    </format>
    <format dxfId="1409">
      <pivotArea type="all" dataOnly="0" outline="0" fieldPosition="0"/>
    </format>
    <format dxfId="1408">
      <pivotArea type="all" dataOnly="0" outline="0" fieldPosition="0"/>
    </format>
    <format dxfId="1407">
      <pivotArea type="all" dataOnly="0" outline="0" fieldPosition="0"/>
    </format>
    <format dxfId="1406">
      <pivotArea type="all" dataOnly="0" outline="0" fieldPosition="0"/>
    </format>
    <format dxfId="1405">
      <pivotArea type="all" dataOnly="0" outline="0" fieldPosition="0"/>
    </format>
    <format dxfId="1404">
      <pivotArea type="all" dataOnly="0" outline="0" fieldPosition="0"/>
    </format>
    <format dxfId="1403">
      <pivotArea type="all" dataOnly="0" outline="0" fieldPosition="0"/>
    </format>
    <format dxfId="1402">
      <pivotArea type="all" dataOnly="0" outline="0" fieldPosition="0"/>
    </format>
    <format dxfId="1401">
      <pivotArea type="all" dataOnly="0" outline="0" fieldPosition="0"/>
    </format>
    <format dxfId="1400">
      <pivotArea outline="0" collapsedLevelsAreSubtotals="1" fieldPosition="0"/>
    </format>
    <format dxfId="1399">
      <pivotArea dataOnly="0" labelOnly="1" outline="0" axis="axisValues" fieldPosition="0"/>
    </format>
    <format dxfId="1398">
      <pivotArea type="all" dataOnly="0" outline="0" fieldPosition="0"/>
    </format>
    <format dxfId="1397">
      <pivotArea outline="0" collapsedLevelsAreSubtotals="1" fieldPosition="0"/>
    </format>
    <format dxfId="1396">
      <pivotArea dataOnly="0" labelOnly="1" outline="0" axis="axisValues" fieldPosition="0"/>
    </format>
    <format dxfId="1395">
      <pivotArea type="all" dataOnly="0" outline="0" fieldPosition="0"/>
    </format>
    <format dxfId="1394">
      <pivotArea outline="0" collapsedLevelsAreSubtotals="1" fieldPosition="0"/>
    </format>
    <format dxfId="1393">
      <pivotArea dataOnly="0" labelOnly="1" outline="0" axis="axisValues" fieldPosition="0"/>
    </format>
    <format dxfId="1392">
      <pivotArea type="all" dataOnly="0" outline="0" fieldPosition="0"/>
    </format>
    <format dxfId="1391">
      <pivotArea outline="0" collapsedLevelsAreSubtotals="1" fieldPosition="0"/>
    </format>
    <format dxfId="1390">
      <pivotArea dataOnly="0" labelOnly="1" outline="0" axis="axisValues" fieldPosition="0"/>
    </format>
    <format dxfId="1389">
      <pivotArea type="all" dataOnly="0" outline="0" fieldPosition="0"/>
    </format>
    <format dxfId="1388">
      <pivotArea outline="0" collapsedLevelsAreSubtotals="1" fieldPosition="0"/>
    </format>
    <format dxfId="1387">
      <pivotArea dataOnly="0" labelOnly="1" outline="0" axis="axisValues" fieldPosition="0"/>
    </format>
    <format dxfId="1386">
      <pivotArea type="all" dataOnly="0" outline="0" fieldPosition="0"/>
    </format>
    <format dxfId="1385">
      <pivotArea outline="0" collapsedLevelsAreSubtotals="1" fieldPosition="0"/>
    </format>
    <format dxfId="138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D1EC4F98-76CE-4D45-A924-B1D094CAFA11}" name="PivotTable80"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95:C410" firstHeaderRow="1" firstDataRow="1" firstDataCol="1" rowPageCount="3" colPageCount="1"/>
  <pivotFields count="68">
    <pivotField showAll="0" defaultSubtotal="0"/>
    <pivotField axis="axisPage" multipleItemSelectionAllowed="1" showAll="0" defaultSubtotal="0">
      <items count="5">
        <item x="1"/>
        <item x="2"/>
        <item x="4"/>
        <item h="1" x="3"/>
        <item h="1" x="0"/>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5">
    <i>
      <x/>
    </i>
    <i>
      <x v="1"/>
    </i>
    <i>
      <x v="2"/>
    </i>
    <i>
      <x v="3"/>
    </i>
    <i>
      <x v="4"/>
    </i>
    <i>
      <x v="5"/>
    </i>
    <i>
      <x v="6"/>
    </i>
    <i>
      <x v="8"/>
    </i>
    <i>
      <x v="10"/>
    </i>
    <i>
      <x v="11"/>
    </i>
    <i>
      <x v="12"/>
    </i>
    <i>
      <x v="14"/>
    </i>
    <i>
      <x v="15"/>
    </i>
    <i>
      <x v="16"/>
    </i>
    <i t="grand">
      <x/>
    </i>
  </rowItems>
  <colItems count="1">
    <i/>
  </colItems>
  <pageFields count="3">
    <pageField fld="7" hier="-1"/>
    <pageField fld="2" hier="-1"/>
    <pageField fld="1" hier="-1"/>
  </pageFields>
  <dataFields count="1">
    <dataField name="Sum of Net Dwellings" fld="40" baseField="0" baseItem="0"/>
  </dataFields>
  <formats count="34">
    <format dxfId="1445">
      <pivotArea type="all" dataOnly="0" outline="0" fieldPosition="0"/>
    </format>
    <format dxfId="1444">
      <pivotArea type="all" dataOnly="0" outline="0" fieldPosition="0"/>
    </format>
    <format dxfId="1443">
      <pivotArea type="all" dataOnly="0" outline="0" fieldPosition="0"/>
    </format>
    <format dxfId="1442">
      <pivotArea type="all" dataOnly="0" outline="0" fieldPosition="0"/>
    </format>
    <format dxfId="1441">
      <pivotArea type="all" dataOnly="0" outline="0" fieldPosition="0"/>
    </format>
    <format dxfId="1440">
      <pivotArea type="all" dataOnly="0" outline="0" fieldPosition="0"/>
    </format>
    <format dxfId="1439">
      <pivotArea type="all" dataOnly="0" outline="0" fieldPosition="0"/>
    </format>
    <format dxfId="1438">
      <pivotArea field="56" type="button" dataOnly="0" labelOnly="1" outline="0" axis="axisRow" fieldPosition="0"/>
    </format>
    <format dxfId="1437">
      <pivotArea dataOnly="0" labelOnly="1" outline="0" fieldPosition="0">
        <references count="1">
          <reference field="4294967294" count="1">
            <x v="0"/>
          </reference>
        </references>
      </pivotArea>
    </format>
    <format dxfId="1436">
      <pivotArea field="56" type="button" dataOnly="0" labelOnly="1" outline="0" axis="axisRow" fieldPosition="0"/>
    </format>
    <format dxfId="1435">
      <pivotArea dataOnly="0" labelOnly="1" outline="0" fieldPosition="0">
        <references count="1">
          <reference field="4294967294" count="1">
            <x v="0"/>
          </reference>
        </references>
      </pivotArea>
    </format>
    <format dxfId="1434">
      <pivotArea field="56" type="button" dataOnly="0" labelOnly="1" outline="0" axis="axisRow" fieldPosition="0"/>
    </format>
    <format dxfId="1433">
      <pivotArea dataOnly="0" labelOnly="1" outline="0" fieldPosition="0">
        <references count="1">
          <reference field="4294967294" count="1">
            <x v="0"/>
          </reference>
        </references>
      </pivotArea>
    </format>
    <format dxfId="1432">
      <pivotArea type="all" dataOnly="0" outline="0" fieldPosition="0"/>
    </format>
    <format dxfId="1431">
      <pivotArea type="all" dataOnly="0" outline="0" fieldPosition="0"/>
    </format>
    <format dxfId="1430">
      <pivotArea type="all" dataOnly="0" outline="0" fieldPosition="0"/>
    </format>
    <format dxfId="1429">
      <pivotArea type="all" dataOnly="0" outline="0" fieldPosition="0"/>
    </format>
    <format dxfId="1428">
      <pivotArea outline="0" collapsedLevelsAreSubtotals="1" fieldPosition="0"/>
    </format>
    <format dxfId="1427">
      <pivotArea field="56" type="button" dataOnly="0" labelOnly="1" outline="0" axis="axisRow" fieldPosition="0"/>
    </format>
    <format dxfId="1426">
      <pivotArea dataOnly="0" labelOnly="1" fieldPosition="0">
        <references count="1">
          <reference field="56" count="16">
            <x v="0"/>
            <x v="1"/>
            <x v="2"/>
            <x v="3"/>
            <x v="4"/>
            <x v="6"/>
            <x v="8"/>
            <x v="9"/>
            <x v="10"/>
            <x v="11"/>
            <x v="12"/>
            <x v="13"/>
            <x v="14"/>
            <x v="15"/>
            <x v="16"/>
            <x v="17"/>
          </reference>
        </references>
      </pivotArea>
    </format>
    <format dxfId="1425">
      <pivotArea dataOnly="0" labelOnly="1" grandRow="1" outline="0" fieldPosition="0"/>
    </format>
    <format dxfId="1424">
      <pivotArea dataOnly="0" labelOnly="1" outline="0" axis="axisValues" fieldPosition="0"/>
    </format>
    <format dxfId="1423">
      <pivotArea type="all" dataOnly="0" outline="0" fieldPosition="0"/>
    </format>
    <format dxfId="1422">
      <pivotArea outline="0" collapsedLevelsAreSubtotals="1" fieldPosition="0"/>
    </format>
    <format dxfId="1421">
      <pivotArea field="56" type="button" dataOnly="0" labelOnly="1" outline="0" axis="axisRow" fieldPosition="0"/>
    </format>
    <format dxfId="1420">
      <pivotArea dataOnly="0" labelOnly="1" fieldPosition="0">
        <references count="1">
          <reference field="56" count="14">
            <x v="0"/>
            <x v="1"/>
            <x v="2"/>
            <x v="3"/>
            <x v="4"/>
            <x v="5"/>
            <x v="6"/>
            <x v="8"/>
            <x v="10"/>
            <x v="11"/>
            <x v="12"/>
            <x v="14"/>
            <x v="15"/>
            <x v="16"/>
          </reference>
        </references>
      </pivotArea>
    </format>
    <format dxfId="1419">
      <pivotArea dataOnly="0" labelOnly="1" grandRow="1" outline="0" fieldPosition="0"/>
    </format>
    <format dxfId="1418">
      <pivotArea dataOnly="0" labelOnly="1" outline="0" axis="axisValues" fieldPosition="0"/>
    </format>
    <format dxfId="1417">
      <pivotArea type="all" dataOnly="0" outline="0" fieldPosition="0"/>
    </format>
    <format dxfId="1416">
      <pivotArea outline="0" collapsedLevelsAreSubtotals="1" fieldPosition="0"/>
    </format>
    <format dxfId="1415">
      <pivotArea field="56" type="button" dataOnly="0" labelOnly="1" outline="0" axis="axisRow" fieldPosition="0"/>
    </format>
    <format dxfId="1414">
      <pivotArea dataOnly="0" labelOnly="1" fieldPosition="0">
        <references count="1">
          <reference field="56" count="14">
            <x v="0"/>
            <x v="1"/>
            <x v="2"/>
            <x v="3"/>
            <x v="4"/>
            <x v="5"/>
            <x v="6"/>
            <x v="8"/>
            <x v="10"/>
            <x v="11"/>
            <x v="12"/>
            <x v="14"/>
            <x v="15"/>
            <x v="16"/>
          </reference>
        </references>
      </pivotArea>
    </format>
    <format dxfId="1413">
      <pivotArea dataOnly="0" labelOnly="1" grandRow="1" outline="0" fieldPosition="0"/>
    </format>
    <format dxfId="14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D15EAC93-63A5-4AED-9332-64C2C4DC3E11}" name="PivotTable7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92:B19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x="1"/>
        <item h="1"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473">
      <pivotArea type="all" dataOnly="0" outline="0" fieldPosition="0"/>
    </format>
    <format dxfId="1472">
      <pivotArea type="all" dataOnly="0" outline="0" fieldPosition="0"/>
    </format>
    <format dxfId="1471">
      <pivotArea type="all" dataOnly="0" outline="0" fieldPosition="0"/>
    </format>
    <format dxfId="1470">
      <pivotArea type="all" dataOnly="0" outline="0" fieldPosition="0"/>
    </format>
    <format dxfId="1469">
      <pivotArea type="all" dataOnly="0" outline="0" fieldPosition="0"/>
    </format>
    <format dxfId="1468">
      <pivotArea type="all" dataOnly="0" outline="0" fieldPosition="0"/>
    </format>
    <format dxfId="1467">
      <pivotArea type="all" dataOnly="0" outline="0" fieldPosition="0"/>
    </format>
    <format dxfId="1466">
      <pivotArea type="all" dataOnly="0" outline="0" fieldPosition="0"/>
    </format>
    <format dxfId="1465">
      <pivotArea type="all" dataOnly="0" outline="0" fieldPosition="0"/>
    </format>
    <format dxfId="1464">
      <pivotArea type="all" dataOnly="0" outline="0" fieldPosition="0"/>
    </format>
    <format dxfId="1463">
      <pivotArea type="all" dataOnly="0" outline="0" fieldPosition="0"/>
    </format>
    <format dxfId="1462">
      <pivotArea outline="0" collapsedLevelsAreSubtotals="1" fieldPosition="0"/>
    </format>
    <format dxfId="1461">
      <pivotArea dataOnly="0" labelOnly="1" outline="0" axis="axisValues" fieldPosition="0"/>
    </format>
    <format dxfId="1460">
      <pivotArea type="all" dataOnly="0" outline="0" fieldPosition="0"/>
    </format>
    <format dxfId="1459">
      <pivotArea outline="0" collapsedLevelsAreSubtotals="1" fieldPosition="0"/>
    </format>
    <format dxfId="1458">
      <pivotArea dataOnly="0" labelOnly="1" outline="0" axis="axisValues" fieldPosition="0"/>
    </format>
    <format dxfId="1457">
      <pivotArea type="all" dataOnly="0" outline="0" fieldPosition="0"/>
    </format>
    <format dxfId="1456">
      <pivotArea outline="0" collapsedLevelsAreSubtotals="1" fieldPosition="0"/>
    </format>
    <format dxfId="1455">
      <pivotArea dataOnly="0" labelOnly="1" outline="0" axis="axisValues" fieldPosition="0"/>
    </format>
    <format dxfId="1454">
      <pivotArea type="all" dataOnly="0" outline="0" fieldPosition="0"/>
    </format>
    <format dxfId="1453">
      <pivotArea outline="0" collapsedLevelsAreSubtotals="1" fieldPosition="0"/>
    </format>
    <format dxfId="1452">
      <pivotArea dataOnly="0" labelOnly="1" outline="0" axis="axisValues" fieldPosition="0"/>
    </format>
    <format dxfId="1451">
      <pivotArea type="all" dataOnly="0" outline="0" fieldPosition="0"/>
    </format>
    <format dxfId="1450">
      <pivotArea outline="0" collapsedLevelsAreSubtotals="1" fieldPosition="0"/>
    </format>
    <format dxfId="1449">
      <pivotArea dataOnly="0" labelOnly="1" outline="0" axis="axisValues" fieldPosition="0"/>
    </format>
    <format dxfId="1448">
      <pivotArea type="all" dataOnly="0" outline="0" fieldPosition="0"/>
    </format>
    <format dxfId="1447">
      <pivotArea outline="0" collapsedLevelsAreSubtotals="1" fieldPosition="0"/>
    </format>
    <format dxfId="144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0EA0BAB3-11B7-47C8-823F-DD63E7214B92}" name="PivotTable20"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89:B90"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1501">
      <pivotArea type="all" dataOnly="0" outline="0" fieldPosition="0"/>
    </format>
    <format dxfId="1500">
      <pivotArea type="all" dataOnly="0" outline="0" fieldPosition="0"/>
    </format>
    <format dxfId="1499">
      <pivotArea type="all" dataOnly="0" outline="0" fieldPosition="0"/>
    </format>
    <format dxfId="1498">
      <pivotArea type="all" dataOnly="0" outline="0" fieldPosition="0"/>
    </format>
    <format dxfId="1497">
      <pivotArea type="all" dataOnly="0" outline="0" fieldPosition="0"/>
    </format>
    <format dxfId="1496">
      <pivotArea type="all" dataOnly="0" outline="0" fieldPosition="0"/>
    </format>
    <format dxfId="1495">
      <pivotArea type="all" dataOnly="0" outline="0" fieldPosition="0"/>
    </format>
    <format dxfId="1494">
      <pivotArea type="all" dataOnly="0" outline="0" fieldPosition="0"/>
    </format>
    <format dxfId="1493">
      <pivotArea type="all" dataOnly="0" outline="0" fieldPosition="0"/>
    </format>
    <format dxfId="1492">
      <pivotArea type="all" dataOnly="0" outline="0" fieldPosition="0"/>
    </format>
    <format dxfId="1491">
      <pivotArea type="all" dataOnly="0" outline="0" fieldPosition="0"/>
    </format>
    <format dxfId="1490">
      <pivotArea outline="0" collapsedLevelsAreSubtotals="1" fieldPosition="0"/>
    </format>
    <format dxfId="1489">
      <pivotArea dataOnly="0" labelOnly="1" outline="0" axis="axisValues" fieldPosition="0"/>
    </format>
    <format dxfId="1488">
      <pivotArea type="all" dataOnly="0" outline="0" fieldPosition="0"/>
    </format>
    <format dxfId="1487">
      <pivotArea outline="0" collapsedLevelsAreSubtotals="1" fieldPosition="0"/>
    </format>
    <format dxfId="1486">
      <pivotArea dataOnly="0" labelOnly="1" outline="0" axis="axisValues" fieldPosition="0"/>
    </format>
    <format dxfId="1485">
      <pivotArea type="all" dataOnly="0" outline="0" fieldPosition="0"/>
    </format>
    <format dxfId="1484">
      <pivotArea outline="0" collapsedLevelsAreSubtotals="1" fieldPosition="0"/>
    </format>
    <format dxfId="1483">
      <pivotArea dataOnly="0" labelOnly="1" outline="0" axis="axisValues" fieldPosition="0"/>
    </format>
    <format dxfId="1482">
      <pivotArea type="all" dataOnly="0" outline="0" fieldPosition="0"/>
    </format>
    <format dxfId="1481">
      <pivotArea outline="0" collapsedLevelsAreSubtotals="1" fieldPosition="0"/>
    </format>
    <format dxfId="1480">
      <pivotArea dataOnly="0" labelOnly="1" outline="0" axis="axisValues" fieldPosition="0"/>
    </format>
    <format dxfId="1479">
      <pivotArea type="all" dataOnly="0" outline="0" fieldPosition="0"/>
    </format>
    <format dxfId="1478">
      <pivotArea outline="0" collapsedLevelsAreSubtotals="1" fieldPosition="0"/>
    </format>
    <format dxfId="1477">
      <pivotArea dataOnly="0" labelOnly="1" outline="0" axis="axisValues" fieldPosition="0"/>
    </format>
    <format dxfId="1476">
      <pivotArea type="all" dataOnly="0" outline="0" fieldPosition="0"/>
    </format>
    <format dxfId="1475">
      <pivotArea outline="0" collapsedLevelsAreSubtotals="1" fieldPosition="0"/>
    </format>
    <format dxfId="147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6CE50CAC-2B65-48FA-A75D-60EAB451F3CC}" name="PivotTable68"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73:E17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529">
      <pivotArea type="all" dataOnly="0" outline="0" fieldPosition="0"/>
    </format>
    <format dxfId="1528">
      <pivotArea type="all" dataOnly="0" outline="0" fieldPosition="0"/>
    </format>
    <format dxfId="1527">
      <pivotArea type="all" dataOnly="0" outline="0" fieldPosition="0"/>
    </format>
    <format dxfId="1526">
      <pivotArea type="all" dataOnly="0" outline="0" fieldPosition="0"/>
    </format>
    <format dxfId="1525">
      <pivotArea type="all" dataOnly="0" outline="0" fieldPosition="0"/>
    </format>
    <format dxfId="1524">
      <pivotArea type="all" dataOnly="0" outline="0" fieldPosition="0"/>
    </format>
    <format dxfId="1523">
      <pivotArea type="all" dataOnly="0" outline="0" fieldPosition="0"/>
    </format>
    <format dxfId="1522">
      <pivotArea type="all" dataOnly="0" outline="0" fieldPosition="0"/>
    </format>
    <format dxfId="1521">
      <pivotArea type="all" dataOnly="0" outline="0" fieldPosition="0"/>
    </format>
    <format dxfId="1520">
      <pivotArea type="all" dataOnly="0" outline="0" fieldPosition="0"/>
    </format>
    <format dxfId="1519">
      <pivotArea type="all" dataOnly="0" outline="0" fieldPosition="0"/>
    </format>
    <format dxfId="1518">
      <pivotArea outline="0" collapsedLevelsAreSubtotals="1" fieldPosition="0"/>
    </format>
    <format dxfId="1517">
      <pivotArea dataOnly="0" labelOnly="1" outline="0" axis="axisValues" fieldPosition="0"/>
    </format>
    <format dxfId="1516">
      <pivotArea type="all" dataOnly="0" outline="0" fieldPosition="0"/>
    </format>
    <format dxfId="1515">
      <pivotArea outline="0" collapsedLevelsAreSubtotals="1" fieldPosition="0"/>
    </format>
    <format dxfId="1514">
      <pivotArea dataOnly="0" labelOnly="1" outline="0" axis="axisValues" fieldPosition="0"/>
    </format>
    <format dxfId="1513">
      <pivotArea type="all" dataOnly="0" outline="0" fieldPosition="0"/>
    </format>
    <format dxfId="1512">
      <pivotArea outline="0" collapsedLevelsAreSubtotals="1" fieldPosition="0"/>
    </format>
    <format dxfId="1511">
      <pivotArea dataOnly="0" labelOnly="1" outline="0" axis="axisValues" fieldPosition="0"/>
    </format>
    <format dxfId="1510">
      <pivotArea type="all" dataOnly="0" outline="0" fieldPosition="0"/>
    </format>
    <format dxfId="1509">
      <pivotArea outline="0" collapsedLevelsAreSubtotals="1" fieldPosition="0"/>
    </format>
    <format dxfId="1508">
      <pivotArea dataOnly="0" labelOnly="1" outline="0" axis="axisValues" fieldPosition="0"/>
    </format>
    <format dxfId="1507">
      <pivotArea type="all" dataOnly="0" outline="0" fieldPosition="0"/>
    </format>
    <format dxfId="1506">
      <pivotArea outline="0" collapsedLevelsAreSubtotals="1" fieldPosition="0"/>
    </format>
    <format dxfId="1505">
      <pivotArea dataOnly="0" labelOnly="1" outline="0" axis="axisValues" fieldPosition="0"/>
    </format>
    <format dxfId="1504">
      <pivotArea type="all" dataOnly="0" outline="0" fieldPosition="0"/>
    </format>
    <format dxfId="1503">
      <pivotArea outline="0" collapsedLevelsAreSubtotals="1" fieldPosition="0"/>
    </format>
    <format dxfId="15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300A5571-F1F0-4CF5-9E57-27EB58999FDA}" name="PivotTable16"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89:H90" firstHeaderRow="1" firstDataRow="1" firstDataCol="0" rowPageCount="2" colPageCount="1"/>
  <pivotFields count="57">
    <pivotField showAll="0" defaultSubtotal="0"/>
    <pivotField axis="axisPage" multipleItemSelectionAllowed="1" showAll="0" defaultSubtotal="0">
      <items count="5">
        <item x="1"/>
        <item x="2"/>
        <item x="4"/>
        <item h="1" x="3"/>
        <item h="1"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1557">
      <pivotArea type="all" dataOnly="0" outline="0" fieldPosition="0"/>
    </format>
    <format dxfId="1556">
      <pivotArea type="all" dataOnly="0" outline="0" fieldPosition="0"/>
    </format>
    <format dxfId="1555">
      <pivotArea type="all" dataOnly="0" outline="0" fieldPosition="0"/>
    </format>
    <format dxfId="1554">
      <pivotArea type="all" dataOnly="0" outline="0" fieldPosition="0"/>
    </format>
    <format dxfId="1553">
      <pivotArea type="all" dataOnly="0" outline="0" fieldPosition="0"/>
    </format>
    <format dxfId="1552">
      <pivotArea type="all" dataOnly="0" outline="0" fieldPosition="0"/>
    </format>
    <format dxfId="1551">
      <pivotArea type="all" dataOnly="0" outline="0" fieldPosition="0"/>
    </format>
    <format dxfId="1550">
      <pivotArea type="all" dataOnly="0" outline="0" fieldPosition="0"/>
    </format>
    <format dxfId="1549">
      <pivotArea type="all" dataOnly="0" outline="0" fieldPosition="0"/>
    </format>
    <format dxfId="1548">
      <pivotArea type="all" dataOnly="0" outline="0" fieldPosition="0"/>
    </format>
    <format dxfId="1547">
      <pivotArea type="all" dataOnly="0" outline="0" fieldPosition="0"/>
    </format>
    <format dxfId="1546">
      <pivotArea outline="0" collapsedLevelsAreSubtotals="1" fieldPosition="0"/>
    </format>
    <format dxfId="1545">
      <pivotArea dataOnly="0" labelOnly="1" outline="0" axis="axisValues" fieldPosition="0"/>
    </format>
    <format dxfId="1544">
      <pivotArea type="all" dataOnly="0" outline="0" fieldPosition="0"/>
    </format>
    <format dxfId="1543">
      <pivotArea outline="0" collapsedLevelsAreSubtotals="1" fieldPosition="0"/>
    </format>
    <format dxfId="1542">
      <pivotArea dataOnly="0" labelOnly="1" outline="0" axis="axisValues" fieldPosition="0"/>
    </format>
    <format dxfId="1541">
      <pivotArea type="all" dataOnly="0" outline="0" fieldPosition="0"/>
    </format>
    <format dxfId="1540">
      <pivotArea outline="0" collapsedLevelsAreSubtotals="1" fieldPosition="0"/>
    </format>
    <format dxfId="1539">
      <pivotArea dataOnly="0" labelOnly="1" outline="0" axis="axisValues" fieldPosition="0"/>
    </format>
    <format dxfId="1538">
      <pivotArea type="all" dataOnly="0" outline="0" fieldPosition="0"/>
    </format>
    <format dxfId="1537">
      <pivotArea outline="0" collapsedLevelsAreSubtotals="1" fieldPosition="0"/>
    </format>
    <format dxfId="1536">
      <pivotArea dataOnly="0" labelOnly="1" outline="0" axis="axisValues" fieldPosition="0"/>
    </format>
    <format dxfId="1535">
      <pivotArea type="all" dataOnly="0" outline="0" fieldPosition="0"/>
    </format>
    <format dxfId="1534">
      <pivotArea outline="0" collapsedLevelsAreSubtotals="1" fieldPosition="0"/>
    </format>
    <format dxfId="1533">
      <pivotArea dataOnly="0" labelOnly="1" outline="0" axis="axisValues" fieldPosition="0"/>
    </format>
    <format dxfId="1532">
      <pivotArea type="all" dataOnly="0" outline="0" fieldPosition="0"/>
    </format>
    <format dxfId="1531">
      <pivotArea outline="0" collapsedLevelsAreSubtotals="1" fieldPosition="0"/>
    </format>
    <format dxfId="15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91EF5349-4AF9-4DE7-AF5A-2C40E3D62A07}" name="PivotTable35" cacheId="5"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47:I250" firstHeaderRow="1" firstDataRow="1" firstDataCol="1" rowPageCount="1" colPageCount="1"/>
  <pivotFields count="6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6">
        <item x="0"/>
        <item h="1" x="1"/>
        <item h="1" x="2"/>
        <item h="1" x="4"/>
        <item h="1" m="1" x="5"/>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axis="axisRow" showAll="0">
      <items count="3">
        <item x="1"/>
        <item x="0"/>
        <item t="default"/>
      </items>
    </pivotField>
    <pivotField showAll="0"/>
    <pivotField showAll="0"/>
    <pivotField showAll="0"/>
    <pivotField showAll="0"/>
    <pivotField showAll="0"/>
    <pivotField showAll="0"/>
  </pivotFields>
  <rowFields count="1">
    <field x="59"/>
  </rowFields>
  <rowItems count="3">
    <i>
      <x/>
    </i>
    <i>
      <x v="1"/>
    </i>
    <i t="grand">
      <x/>
    </i>
  </rowItems>
  <colItems count="1">
    <i/>
  </colItems>
  <pageFields count="1">
    <pageField fld="7" hier="-1"/>
  </pageFields>
  <dataFields count="1">
    <dataField name="Sum of Net Dwellings" fld="40" baseField="0" baseItem="0"/>
  </dataFields>
  <formats count="26">
    <format dxfId="1583">
      <pivotArea type="all" dataOnly="0" outline="0" fieldPosition="0"/>
    </format>
    <format dxfId="1582">
      <pivotArea type="all" dataOnly="0" outline="0" fieldPosition="0"/>
    </format>
    <format dxfId="1581">
      <pivotArea type="all" dataOnly="0" outline="0" fieldPosition="0"/>
    </format>
    <format dxfId="1580">
      <pivotArea type="all" dataOnly="0" outline="0" fieldPosition="0"/>
    </format>
    <format dxfId="1579">
      <pivotArea type="all" dataOnly="0" outline="0" fieldPosition="0"/>
    </format>
    <format dxfId="1578">
      <pivotArea type="all" dataOnly="0" outline="0" fieldPosition="0"/>
    </format>
    <format dxfId="1577">
      <pivotArea type="all" dataOnly="0" outline="0" fieldPosition="0"/>
    </format>
    <format dxfId="1576">
      <pivotArea type="all" dataOnly="0" outline="0" fieldPosition="0"/>
    </format>
    <format dxfId="1575">
      <pivotArea type="all" dataOnly="0" outline="0" fieldPosition="0"/>
    </format>
    <format dxfId="1574">
      <pivotArea type="all" dataOnly="0" outline="0" fieldPosition="0"/>
    </format>
    <format dxfId="1573">
      <pivotArea type="all" dataOnly="0" outline="0" fieldPosition="0"/>
    </format>
    <format dxfId="1572">
      <pivotArea outline="0" collapsedLevelsAreSubtotals="1" fieldPosition="0"/>
    </format>
    <format dxfId="1571">
      <pivotArea dataOnly="0" labelOnly="1" grandRow="1" outline="0" fieldPosition="0"/>
    </format>
    <format dxfId="1570">
      <pivotArea dataOnly="0" labelOnly="1" outline="0" axis="axisValues" fieldPosition="0"/>
    </format>
    <format dxfId="1569">
      <pivotArea type="all" dataOnly="0" outline="0" fieldPosition="0"/>
    </format>
    <format dxfId="1568">
      <pivotArea outline="0" collapsedLevelsAreSubtotals="1" fieldPosition="0"/>
    </format>
    <format dxfId="1567">
      <pivotArea field="59" type="button" dataOnly="0" labelOnly="1" outline="0" axis="axisRow" fieldPosition="0"/>
    </format>
    <format dxfId="1566">
      <pivotArea dataOnly="0" labelOnly="1" fieldPosition="0">
        <references count="1">
          <reference field="59" count="0"/>
        </references>
      </pivotArea>
    </format>
    <format dxfId="1565">
      <pivotArea dataOnly="0" labelOnly="1" grandRow="1" outline="0" fieldPosition="0"/>
    </format>
    <format dxfId="1564">
      <pivotArea dataOnly="0" labelOnly="1" outline="0" axis="axisValues" fieldPosition="0"/>
    </format>
    <format dxfId="1563">
      <pivotArea type="all" dataOnly="0" outline="0" fieldPosition="0"/>
    </format>
    <format dxfId="1562">
      <pivotArea outline="0" collapsedLevelsAreSubtotals="1" fieldPosition="0"/>
    </format>
    <format dxfId="1561">
      <pivotArea field="59" type="button" dataOnly="0" labelOnly="1" outline="0" axis="axisRow" fieldPosition="0"/>
    </format>
    <format dxfId="1560">
      <pivotArea dataOnly="0" labelOnly="1" fieldPosition="0">
        <references count="1">
          <reference field="59" count="0"/>
        </references>
      </pivotArea>
    </format>
    <format dxfId="1559">
      <pivotArea dataOnly="0" labelOnly="1" grandRow="1" outline="0" fieldPosition="0"/>
    </format>
    <format dxfId="15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2D90A34B-1B1B-4F0F-BB0B-2E8CE79B52B8}" name="PivotTable32"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98:E317" firstHeaderRow="0" firstDataRow="1" firstDataCol="1" rowPageCount="1" colPageCount="1"/>
  <pivotFields count="68">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9">
    <i>
      <x/>
    </i>
    <i>
      <x v="1"/>
    </i>
    <i>
      <x v="2"/>
    </i>
    <i>
      <x v="3"/>
    </i>
    <i>
      <x v="4"/>
    </i>
    <i>
      <x v="5"/>
    </i>
    <i>
      <x v="6"/>
    </i>
    <i>
      <x v="7"/>
    </i>
    <i>
      <x v="8"/>
    </i>
    <i>
      <x v="9"/>
    </i>
    <i>
      <x v="10"/>
    </i>
    <i>
      <x v="11"/>
    </i>
    <i>
      <x v="12"/>
    </i>
    <i>
      <x v="13"/>
    </i>
    <i>
      <x v="14"/>
    </i>
    <i>
      <x v="15"/>
    </i>
    <i>
      <x v="16"/>
    </i>
    <i>
      <x v="17"/>
    </i>
    <i t="grand">
      <x/>
    </i>
  </rowItems>
  <colFields count="1">
    <field x="-2"/>
  </colFields>
  <colItems count="3">
    <i>
      <x/>
    </i>
    <i i="1">
      <x v="1"/>
    </i>
    <i i="2">
      <x v="2"/>
    </i>
  </colItems>
  <pageFields count="1">
    <pageField fld="7" hier="-1"/>
  </pageFields>
  <dataFields count="3">
    <dataField name="Sum of Units Proposed" fld="31" baseField="0" baseItem="0"/>
    <dataField name="Sum of Units Existing" fld="21" baseField="0" baseItem="0"/>
    <dataField name="Sum of Net Dwellings" fld="40" baseField="0" baseItem="0"/>
  </dataFields>
  <formats count="34">
    <format dxfId="1617">
      <pivotArea type="all" dataOnly="0" outline="0" fieldPosition="0"/>
    </format>
    <format dxfId="1616">
      <pivotArea type="all" dataOnly="0" outline="0" fieldPosition="0"/>
    </format>
    <format dxfId="1615">
      <pivotArea type="all" dataOnly="0" outline="0" fieldPosition="0"/>
    </format>
    <format dxfId="1614">
      <pivotArea type="all" dataOnly="0" outline="0" fieldPosition="0"/>
    </format>
    <format dxfId="1613">
      <pivotArea type="all" dataOnly="0" outline="0" fieldPosition="0"/>
    </format>
    <format dxfId="1612">
      <pivotArea type="all" dataOnly="0" outline="0" fieldPosition="0"/>
    </format>
    <format dxfId="1611">
      <pivotArea type="all" dataOnly="0" outline="0" fieldPosition="0"/>
    </format>
    <format dxfId="1610">
      <pivotArea field="56" type="button" dataOnly="0" labelOnly="1" outline="0" axis="axisRow" fieldPosition="0"/>
    </format>
    <format dxfId="1609">
      <pivotArea dataOnly="0" labelOnly="1" outline="0" fieldPosition="0">
        <references count="1">
          <reference field="4294967294" count="3">
            <x v="0"/>
            <x v="1"/>
            <x v="2"/>
          </reference>
        </references>
      </pivotArea>
    </format>
    <format dxfId="1608">
      <pivotArea field="56" type="button" dataOnly="0" labelOnly="1" outline="0" axis="axisRow" fieldPosition="0"/>
    </format>
    <format dxfId="1607">
      <pivotArea dataOnly="0" labelOnly="1" outline="0" fieldPosition="0">
        <references count="1">
          <reference field="4294967294" count="3">
            <x v="0"/>
            <x v="1"/>
            <x v="2"/>
          </reference>
        </references>
      </pivotArea>
    </format>
    <format dxfId="1606">
      <pivotArea field="56" type="button" dataOnly="0" labelOnly="1" outline="0" axis="axisRow" fieldPosition="0"/>
    </format>
    <format dxfId="1605">
      <pivotArea dataOnly="0" labelOnly="1" outline="0" fieldPosition="0">
        <references count="1">
          <reference field="4294967294" count="3">
            <x v="0"/>
            <x v="1"/>
            <x v="2"/>
          </reference>
        </references>
      </pivotArea>
    </format>
    <format dxfId="1604">
      <pivotArea type="all" dataOnly="0" outline="0" fieldPosition="0"/>
    </format>
    <format dxfId="1603">
      <pivotArea type="all" dataOnly="0" outline="0" fieldPosition="0"/>
    </format>
    <format dxfId="1602">
      <pivotArea type="all" dataOnly="0" outline="0" fieldPosition="0"/>
    </format>
    <format dxfId="1601">
      <pivotArea type="all" dataOnly="0" outline="0" fieldPosition="0"/>
    </format>
    <format dxfId="1600">
      <pivotArea outline="0" collapsedLevelsAreSubtotals="1" fieldPosition="0"/>
    </format>
    <format dxfId="1599">
      <pivotArea field="56" type="button" dataOnly="0" labelOnly="1" outline="0" axis="axisRow" fieldPosition="0"/>
    </format>
    <format dxfId="1598">
      <pivotArea dataOnly="0" labelOnly="1" fieldPosition="0">
        <references count="1">
          <reference field="56" count="17">
            <x v="0"/>
            <x v="1"/>
            <x v="2"/>
            <x v="3"/>
            <x v="4"/>
            <x v="5"/>
            <x v="6"/>
            <x v="7"/>
            <x v="8"/>
            <x v="9"/>
            <x v="10"/>
            <x v="11"/>
            <x v="13"/>
            <x v="14"/>
            <x v="15"/>
            <x v="16"/>
            <x v="17"/>
          </reference>
        </references>
      </pivotArea>
    </format>
    <format dxfId="1597">
      <pivotArea dataOnly="0" labelOnly="1" grandRow="1" outline="0" fieldPosition="0"/>
    </format>
    <format dxfId="1596">
      <pivotArea dataOnly="0" labelOnly="1" outline="0" fieldPosition="0">
        <references count="1">
          <reference field="4294967294" count="3">
            <x v="0"/>
            <x v="1"/>
            <x v="2"/>
          </reference>
        </references>
      </pivotArea>
    </format>
    <format dxfId="1595">
      <pivotArea type="all" dataOnly="0" outline="0" fieldPosition="0"/>
    </format>
    <format dxfId="1594">
      <pivotArea outline="0" collapsedLevelsAreSubtotals="1" fieldPosition="0"/>
    </format>
    <format dxfId="1593">
      <pivotArea field="56" type="button" dataOnly="0" labelOnly="1" outline="0" axis="axisRow" fieldPosition="0"/>
    </format>
    <format dxfId="1592">
      <pivotArea dataOnly="0" labelOnly="1" fieldPosition="0">
        <references count="1">
          <reference field="56" count="18">
            <x v="0"/>
            <x v="1"/>
            <x v="2"/>
            <x v="3"/>
            <x v="4"/>
            <x v="5"/>
            <x v="6"/>
            <x v="7"/>
            <x v="8"/>
            <x v="9"/>
            <x v="10"/>
            <x v="11"/>
            <x v="12"/>
            <x v="13"/>
            <x v="14"/>
            <x v="15"/>
            <x v="16"/>
            <x v="17"/>
          </reference>
        </references>
      </pivotArea>
    </format>
    <format dxfId="1591">
      <pivotArea dataOnly="0" labelOnly="1" grandRow="1" outline="0" fieldPosition="0"/>
    </format>
    <format dxfId="1590">
      <pivotArea dataOnly="0" labelOnly="1" outline="0" fieldPosition="0">
        <references count="1">
          <reference field="4294967294" count="3">
            <x v="0"/>
            <x v="1"/>
            <x v="2"/>
          </reference>
        </references>
      </pivotArea>
    </format>
    <format dxfId="1589">
      <pivotArea type="all" dataOnly="0" outline="0" fieldPosition="0"/>
    </format>
    <format dxfId="1588">
      <pivotArea outline="0" collapsedLevelsAreSubtotals="1" fieldPosition="0"/>
    </format>
    <format dxfId="1587">
      <pivotArea field="56" type="button" dataOnly="0" labelOnly="1" outline="0" axis="axisRow" fieldPosition="0"/>
    </format>
    <format dxfId="1586">
      <pivotArea dataOnly="0" labelOnly="1" fieldPosition="0">
        <references count="1">
          <reference field="56" count="18">
            <x v="0"/>
            <x v="1"/>
            <x v="2"/>
            <x v="3"/>
            <x v="4"/>
            <x v="5"/>
            <x v="6"/>
            <x v="7"/>
            <x v="8"/>
            <x v="9"/>
            <x v="10"/>
            <x v="11"/>
            <x v="12"/>
            <x v="13"/>
            <x v="14"/>
            <x v="15"/>
            <x v="16"/>
            <x v="17"/>
          </reference>
        </references>
      </pivotArea>
    </format>
    <format dxfId="1585">
      <pivotArea dataOnly="0" labelOnly="1" grandRow="1" outline="0" fieldPosition="0"/>
    </format>
    <format dxfId="158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1F07F169-3F5C-4225-B76D-4FC7716220FB}" name="PivotTable2"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6:B7" firstHeaderRow="1" firstDataRow="1" firstDataCol="0" rowPageCount="1" colPageCount="1"/>
  <pivotFields count="57">
    <pivotField showAll="0"/>
    <pivotField multipleItemSelectionAllowed="1" showAll="0" defaultSubtotal="0"/>
    <pivotField showAll="0"/>
    <pivotField numFmtId="14" showAll="0"/>
    <pivotField numFmtId="14" showAll="0"/>
    <pivotField showAll="0" defaultSubtotal="0"/>
    <pivotField showAll="0" defaultSubtotal="0"/>
    <pivotField axis="axisPage" multipleItemSelectionAllowed="1" showAll="0">
      <items count="6">
        <item x="0"/>
        <item h="1" x="1"/>
        <item h="1" x="2"/>
        <item h="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1">
    <pageField fld="7" hier="-1"/>
  </pageFields>
  <dataFields count="1">
    <dataField name="Sum of Net Dwellings" fld="40" baseField="0" baseItem="0"/>
  </dataFields>
  <formats count="28">
    <format dxfId="1645">
      <pivotArea type="all" dataOnly="0" outline="0" fieldPosition="0"/>
    </format>
    <format dxfId="1644">
      <pivotArea type="all" dataOnly="0" outline="0" fieldPosition="0"/>
    </format>
    <format dxfId="1643">
      <pivotArea type="all" dataOnly="0" outline="0" fieldPosition="0"/>
    </format>
    <format dxfId="1642">
      <pivotArea type="all" dataOnly="0" outline="0" fieldPosition="0"/>
    </format>
    <format dxfId="1641">
      <pivotArea type="all" dataOnly="0" outline="0" fieldPosition="0"/>
    </format>
    <format dxfId="1640">
      <pivotArea type="all" dataOnly="0" outline="0" fieldPosition="0"/>
    </format>
    <format dxfId="1639">
      <pivotArea type="all" dataOnly="0" outline="0" fieldPosition="0"/>
    </format>
    <format dxfId="1638">
      <pivotArea type="all" dataOnly="0" outline="0" fieldPosition="0"/>
    </format>
    <format dxfId="1637">
      <pivotArea type="all" dataOnly="0" outline="0" fieldPosition="0"/>
    </format>
    <format dxfId="1636">
      <pivotArea type="all" dataOnly="0" outline="0" fieldPosition="0"/>
    </format>
    <format dxfId="1635">
      <pivotArea type="all" dataOnly="0" outline="0" fieldPosition="0"/>
    </format>
    <format dxfId="1634">
      <pivotArea outline="0" collapsedLevelsAreSubtotals="1" fieldPosition="0"/>
    </format>
    <format dxfId="1633">
      <pivotArea dataOnly="0" labelOnly="1" outline="0" axis="axisValues" fieldPosition="0"/>
    </format>
    <format dxfId="1632">
      <pivotArea type="all" dataOnly="0" outline="0" fieldPosition="0"/>
    </format>
    <format dxfId="1631">
      <pivotArea outline="0" collapsedLevelsAreSubtotals="1" fieldPosition="0"/>
    </format>
    <format dxfId="1630">
      <pivotArea dataOnly="0" labelOnly="1" outline="0" axis="axisValues" fieldPosition="0"/>
    </format>
    <format dxfId="1629">
      <pivotArea type="all" dataOnly="0" outline="0" fieldPosition="0"/>
    </format>
    <format dxfId="1628">
      <pivotArea outline="0" collapsedLevelsAreSubtotals="1" fieldPosition="0"/>
    </format>
    <format dxfId="1627">
      <pivotArea dataOnly="0" labelOnly="1" outline="0" axis="axisValues" fieldPosition="0"/>
    </format>
    <format dxfId="1626">
      <pivotArea type="all" dataOnly="0" outline="0" fieldPosition="0"/>
    </format>
    <format dxfId="1625">
      <pivotArea outline="0" collapsedLevelsAreSubtotals="1" fieldPosition="0"/>
    </format>
    <format dxfId="1624">
      <pivotArea dataOnly="0" labelOnly="1" outline="0" axis="axisValues" fieldPosition="0"/>
    </format>
    <format dxfId="1623">
      <pivotArea type="all" dataOnly="0" outline="0" fieldPosition="0"/>
    </format>
    <format dxfId="1622">
      <pivotArea outline="0" collapsedLevelsAreSubtotals="1" fieldPosition="0"/>
    </format>
    <format dxfId="1621">
      <pivotArea dataOnly="0" labelOnly="1" outline="0" axis="axisValues" fieldPosition="0"/>
    </format>
    <format dxfId="1620">
      <pivotArea type="all" dataOnly="0" outline="0" fieldPosition="0"/>
    </format>
    <format dxfId="1619">
      <pivotArea outline="0" collapsedLevelsAreSubtotals="1" fieldPosition="0"/>
    </format>
    <format dxfId="161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5BC26B4-3975-41F1-985E-E035E1524186}" name="PivotTable5"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2:B33" firstHeaderRow="1" firstDataRow="1" firstDataCol="0" rowPageCount="2" colPageCount="1"/>
  <pivotFields count="57">
    <pivotField showAll="0"/>
    <pivotField axis="axisPage" multipleItemSelectionAllowed="1" showAll="0" defaultSubtotal="0">
      <items count="5">
        <item x="1"/>
        <item x="2"/>
        <item x="4"/>
        <item h="1" x="3"/>
        <item h="1" x="0"/>
      </items>
    </pivotField>
    <pivotField showAll="0"/>
    <pivotField numFmtId="14" showAll="0"/>
    <pivotField numFmtId="14" showAll="0"/>
    <pivotField showAll="0" defaultSubtotal="0"/>
    <pivotField showAll="0" defaultSubtotal="0"/>
    <pivotField axis="axisPage" multipleItemSelectionAllowed="1" showAll="0">
      <items count="5">
        <item h="1" x="0"/>
        <item x="1"/>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1" hier="-1"/>
    <pageField fld="7" hier="-1"/>
  </pageFields>
  <dataFields count="1">
    <dataField name="Sum of Net Dwellings" fld="40" baseField="0" baseItem="0"/>
  </dataFields>
  <formats count="28">
    <format dxfId="1673">
      <pivotArea type="all" dataOnly="0" outline="0" fieldPosition="0"/>
    </format>
    <format dxfId="1672">
      <pivotArea type="all" dataOnly="0" outline="0" fieldPosition="0"/>
    </format>
    <format dxfId="1671">
      <pivotArea type="all" dataOnly="0" outline="0" fieldPosition="0"/>
    </format>
    <format dxfId="1670">
      <pivotArea type="all" dataOnly="0" outline="0" fieldPosition="0"/>
    </format>
    <format dxfId="1669">
      <pivotArea type="all" dataOnly="0" outline="0" fieldPosition="0"/>
    </format>
    <format dxfId="1668">
      <pivotArea type="all" dataOnly="0" outline="0" fieldPosition="0"/>
    </format>
    <format dxfId="1667">
      <pivotArea type="all" dataOnly="0" outline="0" fieldPosition="0"/>
    </format>
    <format dxfId="1666">
      <pivotArea type="all" dataOnly="0" outline="0" fieldPosition="0"/>
    </format>
    <format dxfId="1665">
      <pivotArea type="all" dataOnly="0" outline="0" fieldPosition="0"/>
    </format>
    <format dxfId="1664">
      <pivotArea type="all" dataOnly="0" outline="0" fieldPosition="0"/>
    </format>
    <format dxfId="1663">
      <pivotArea type="all" dataOnly="0" outline="0" fieldPosition="0"/>
    </format>
    <format dxfId="1662">
      <pivotArea outline="0" collapsedLevelsAreSubtotals="1" fieldPosition="0"/>
    </format>
    <format dxfId="1661">
      <pivotArea dataOnly="0" labelOnly="1" outline="0" axis="axisValues" fieldPosition="0"/>
    </format>
    <format dxfId="1660">
      <pivotArea type="all" dataOnly="0" outline="0" fieldPosition="0"/>
    </format>
    <format dxfId="1659">
      <pivotArea outline="0" collapsedLevelsAreSubtotals="1" fieldPosition="0"/>
    </format>
    <format dxfId="1658">
      <pivotArea dataOnly="0" labelOnly="1" outline="0" axis="axisValues" fieldPosition="0"/>
    </format>
    <format dxfId="1657">
      <pivotArea type="all" dataOnly="0" outline="0" fieldPosition="0"/>
    </format>
    <format dxfId="1656">
      <pivotArea outline="0" collapsedLevelsAreSubtotals="1" fieldPosition="0"/>
    </format>
    <format dxfId="1655">
      <pivotArea dataOnly="0" labelOnly="1" outline="0" axis="axisValues" fieldPosition="0"/>
    </format>
    <format dxfId="1654">
      <pivotArea type="all" dataOnly="0" outline="0" fieldPosition="0"/>
    </format>
    <format dxfId="1653">
      <pivotArea outline="0" collapsedLevelsAreSubtotals="1" fieldPosition="0"/>
    </format>
    <format dxfId="1652">
      <pivotArea dataOnly="0" labelOnly="1" outline="0" axis="axisValues" fieldPosition="0"/>
    </format>
    <format dxfId="1651">
      <pivotArea type="all" dataOnly="0" outline="0" fieldPosition="0"/>
    </format>
    <format dxfId="1650">
      <pivotArea outline="0" collapsedLevelsAreSubtotals="1" fieldPosition="0"/>
    </format>
    <format dxfId="1649">
      <pivotArea dataOnly="0" labelOnly="1" outline="0" axis="axisValues" fieldPosition="0"/>
    </format>
    <format dxfId="1648">
      <pivotArea type="all" dataOnly="0" outline="0" fieldPosition="0"/>
    </format>
    <format dxfId="1647">
      <pivotArea outline="0" collapsedLevelsAreSubtotals="1" fieldPosition="0"/>
    </format>
    <format dxfId="164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80B6793-7B55-4FDB-8607-C318E3CB0FC1}" name="PivotTable24"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13:B21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5"/>
        <item h="1" m="1" x="4"/>
        <item h="1" m="1" x="6"/>
        <item h="1" x="3"/>
      </items>
    </pivotField>
    <pivotField axis="axisPage" multipleItemSelectionAllowed="1" showAll="0" defaultSubtotal="0">
      <items count="8">
        <item x="1"/>
        <item x="2"/>
        <item x="0"/>
        <item m="1" x="6"/>
        <item x="3"/>
        <item m="1" x="7"/>
        <item m="1" x="5"/>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65">
      <pivotArea type="all" dataOnly="0" outline="0" fieldPosition="0"/>
    </format>
    <format dxfId="164">
      <pivotArea type="all" dataOnly="0" outline="0" fieldPosition="0"/>
    </format>
    <format dxfId="163">
      <pivotArea type="all" dataOnly="0" outline="0" fieldPosition="0"/>
    </format>
    <format dxfId="162">
      <pivotArea type="all" dataOnly="0" outline="0" fieldPosition="0"/>
    </format>
    <format dxfId="161">
      <pivotArea type="all" dataOnly="0" outline="0" fieldPosition="0"/>
    </format>
    <format dxfId="160">
      <pivotArea type="all" dataOnly="0" outline="0" fieldPosition="0"/>
    </format>
    <format dxfId="159">
      <pivotArea type="all" dataOnly="0" outline="0" fieldPosition="0"/>
    </format>
    <format dxfId="158">
      <pivotArea type="all" dataOnly="0" outline="0" fieldPosition="0"/>
    </format>
    <format dxfId="157">
      <pivotArea type="all" dataOnly="0" outline="0" fieldPosition="0"/>
    </format>
    <format dxfId="156">
      <pivotArea type="all" dataOnly="0" outline="0" fieldPosition="0"/>
    </format>
    <format dxfId="155">
      <pivotArea type="all" dataOnly="0" outline="0" fieldPosition="0"/>
    </format>
    <format dxfId="154">
      <pivotArea outline="0" collapsedLevelsAreSubtotals="1" fieldPosition="0"/>
    </format>
    <format dxfId="153">
      <pivotArea dataOnly="0" labelOnly="1" outline="0" axis="axisValues" fieldPosition="0"/>
    </format>
    <format dxfId="152">
      <pivotArea type="all" dataOnly="0" outline="0" fieldPosition="0"/>
    </format>
    <format dxfId="151">
      <pivotArea outline="0" collapsedLevelsAreSubtotals="1" fieldPosition="0"/>
    </format>
    <format dxfId="150">
      <pivotArea dataOnly="0" labelOnly="1" outline="0" axis="axisValues" fieldPosition="0"/>
    </format>
    <format dxfId="149">
      <pivotArea type="all" dataOnly="0" outline="0" fieldPosition="0"/>
    </format>
    <format dxfId="148">
      <pivotArea outline="0" collapsedLevelsAreSubtotals="1" fieldPosition="0"/>
    </format>
    <format dxfId="147">
      <pivotArea dataOnly="0" labelOnly="1" outline="0" axis="axisValues" fieldPosition="0"/>
    </format>
    <format dxfId="146">
      <pivotArea type="all" dataOnly="0" outline="0" fieldPosition="0"/>
    </format>
    <format dxfId="145">
      <pivotArea outline="0" collapsedLevelsAreSubtotals="1" fieldPosition="0"/>
    </format>
    <format dxfId="144">
      <pivotArea dataOnly="0" labelOnly="1" outline="0" axis="axisValues" fieldPosition="0"/>
    </format>
    <format dxfId="143">
      <pivotArea type="all" dataOnly="0" outline="0" fieldPosition="0"/>
    </format>
    <format dxfId="142">
      <pivotArea outline="0" collapsedLevelsAreSubtotals="1" fieldPosition="0"/>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1EAAF497-940E-4812-869D-3B2A33235C5B}" name="PivotTable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35:I238" firstHeaderRow="0" firstDataRow="1" firstDataCol="1" rowPageCount="1" colPageCount="1"/>
  <pivotFields count="57">
    <pivotField showAll="0" defaultSubtotal="0"/>
    <pivotField multipleItemSelectionAllowed="1" showAll="0" defaultSubtotal="0"/>
    <pivotField axis="axisRow" showAll="0" defaultSubtotal="0">
      <items count="2">
        <item x="1"/>
        <item x="0"/>
      </items>
    </pivotField>
    <pivotField showAll="0"/>
    <pivotField showAll="0"/>
    <pivotField showAll="0" defaultSubtotal="0"/>
    <pivotField showAll="0" defaultSubtotal="0"/>
    <pivotField axis="axisPage" multipleItemSelectionAllowed="1" showAll="0" defaultSubtotal="0">
      <items count="7">
        <item x="0"/>
        <item h="1" x="1"/>
        <item h="1" x="2"/>
        <item h="1" m="1" x="6"/>
        <item h="1" m="1" x="4"/>
        <item h="1" m="1" x="5"/>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pivotFields>
  <rowFields count="1">
    <field x="2"/>
  </rowFields>
  <rowItems count="3">
    <i>
      <x/>
    </i>
    <i>
      <x v="1"/>
    </i>
    <i t="grand">
      <x/>
    </i>
  </rowItems>
  <colFields count="1">
    <field x="-2"/>
  </colFields>
  <colItems count="7">
    <i>
      <x/>
    </i>
    <i i="1">
      <x v="1"/>
    </i>
    <i i="2">
      <x v="2"/>
    </i>
    <i i="3">
      <x v="3"/>
    </i>
    <i i="4">
      <x v="4"/>
    </i>
    <i i="5">
      <x v="5"/>
    </i>
    <i i="6">
      <x v="6"/>
    </i>
  </colItems>
  <pageFields count="1">
    <pageField fld="7" hier="-1"/>
  </pageFields>
  <dataFields count="7">
    <dataField name="Sum of 1 bed net" fld="32" baseField="0" baseItem="1"/>
    <dataField name="Sum of 2 bed net" fld="33" baseField="0" baseItem="1"/>
    <dataField name="Sum of 3 bed net" fld="34" baseField="0" baseItem="1"/>
    <dataField name="Sum of 4 bed net" fld="35" baseField="0" baseItem="1"/>
    <dataField name="Sum of 5 bed net" fld="36" baseField="0" baseItem="1"/>
    <dataField name="Sum of 6 bed net" fld="37" baseField="0" baseItem="1"/>
    <dataField name="Sum of 7 bed net" fld="38" baseField="0" baseItem="1"/>
  </dataFields>
  <formats count="28">
    <format dxfId="1701">
      <pivotArea type="all" dataOnly="0" outline="0" fieldPosition="0"/>
    </format>
    <format dxfId="1700">
      <pivotArea type="all" dataOnly="0" outline="0" fieldPosition="0"/>
    </format>
    <format dxfId="1699">
      <pivotArea type="all" dataOnly="0" outline="0" fieldPosition="0"/>
    </format>
    <format dxfId="1698">
      <pivotArea type="all" dataOnly="0" outline="0" fieldPosition="0"/>
    </format>
    <format dxfId="1697">
      <pivotArea type="all" dataOnly="0" outline="0" fieldPosition="0"/>
    </format>
    <format dxfId="1696">
      <pivotArea type="all" dataOnly="0" outline="0" fieldPosition="0"/>
    </format>
    <format dxfId="1695">
      <pivotArea type="all" dataOnly="0" outline="0" fieldPosition="0"/>
    </format>
    <format dxfId="1694">
      <pivotArea type="all" dataOnly="0" outline="0" fieldPosition="0"/>
    </format>
    <format dxfId="1693">
      <pivotArea type="all" dataOnly="0" outline="0" fieldPosition="0"/>
    </format>
    <format dxfId="1692">
      <pivotArea type="all" dataOnly="0" outline="0" fieldPosition="0"/>
    </format>
    <format dxfId="1691">
      <pivotArea type="all" dataOnly="0" outline="0" fieldPosition="0"/>
    </format>
    <format dxfId="1690">
      <pivotArea outline="0" collapsedLevelsAreSubtotals="1" fieldPosition="0"/>
    </format>
    <format dxfId="1689">
      <pivotArea field="2" type="button" dataOnly="0" labelOnly="1" outline="0" axis="axisRow" fieldPosition="0"/>
    </format>
    <format dxfId="1688">
      <pivotArea dataOnly="0" labelOnly="1" fieldPosition="0">
        <references count="1">
          <reference field="2" count="2">
            <x v="0"/>
            <x v="1"/>
          </reference>
        </references>
      </pivotArea>
    </format>
    <format dxfId="1687">
      <pivotArea dataOnly="0" labelOnly="1" grandRow="1" outline="0" fieldPosition="0"/>
    </format>
    <format dxfId="1686">
      <pivotArea dataOnly="0" labelOnly="1" outline="0" fieldPosition="0">
        <references count="1">
          <reference field="4294967294" count="7">
            <x v="0"/>
            <x v="1"/>
            <x v="2"/>
            <x v="3"/>
            <x v="4"/>
            <x v="5"/>
            <x v="6"/>
          </reference>
        </references>
      </pivotArea>
    </format>
    <format dxfId="1685">
      <pivotArea type="all" dataOnly="0" outline="0" fieldPosition="0"/>
    </format>
    <format dxfId="1684">
      <pivotArea outline="0" collapsedLevelsAreSubtotals="1" fieldPosition="0"/>
    </format>
    <format dxfId="1683">
      <pivotArea field="2" type="button" dataOnly="0" labelOnly="1" outline="0" axis="axisRow" fieldPosition="0"/>
    </format>
    <format dxfId="1682">
      <pivotArea dataOnly="0" labelOnly="1" fieldPosition="0">
        <references count="1">
          <reference field="2" count="0"/>
        </references>
      </pivotArea>
    </format>
    <format dxfId="1681">
      <pivotArea dataOnly="0" labelOnly="1" grandRow="1" outline="0" fieldPosition="0"/>
    </format>
    <format dxfId="1680">
      <pivotArea dataOnly="0" labelOnly="1" outline="0" fieldPosition="0">
        <references count="1">
          <reference field="4294967294" count="7">
            <x v="0"/>
            <x v="1"/>
            <x v="2"/>
            <x v="3"/>
            <x v="4"/>
            <x v="5"/>
            <x v="6"/>
          </reference>
        </references>
      </pivotArea>
    </format>
    <format dxfId="1679">
      <pivotArea type="all" dataOnly="0" outline="0" fieldPosition="0"/>
    </format>
    <format dxfId="1678">
      <pivotArea outline="0" collapsedLevelsAreSubtotals="1" fieldPosition="0"/>
    </format>
    <format dxfId="1677">
      <pivotArea field="2" type="button" dataOnly="0" labelOnly="1" outline="0" axis="axisRow" fieldPosition="0"/>
    </format>
    <format dxfId="1676">
      <pivotArea dataOnly="0" labelOnly="1" fieldPosition="0">
        <references count="1">
          <reference field="2" count="0"/>
        </references>
      </pivotArea>
    </format>
    <format dxfId="1675">
      <pivotArea dataOnly="0" labelOnly="1" grandRow="1" outline="0" fieldPosition="0"/>
    </format>
    <format dxfId="1674">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D0CE365E-5AFF-4272-A985-B216CB62554B}" name="PivotTable15"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71:H72" firstHeaderRow="1" firstDataRow="1" firstDataCol="0" rowPageCount="2" colPageCount="1"/>
  <pivotFields count="57">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1729">
      <pivotArea type="all" dataOnly="0" outline="0" fieldPosition="0"/>
    </format>
    <format dxfId="1728">
      <pivotArea type="all" dataOnly="0" outline="0" fieldPosition="0"/>
    </format>
    <format dxfId="1727">
      <pivotArea type="all" dataOnly="0" outline="0" fieldPosition="0"/>
    </format>
    <format dxfId="1726">
      <pivotArea type="all" dataOnly="0" outline="0" fieldPosition="0"/>
    </format>
    <format dxfId="1725">
      <pivotArea type="all" dataOnly="0" outline="0" fieldPosition="0"/>
    </format>
    <format dxfId="1724">
      <pivotArea type="all" dataOnly="0" outline="0" fieldPosition="0"/>
    </format>
    <format dxfId="1723">
      <pivotArea type="all" dataOnly="0" outline="0" fieldPosition="0"/>
    </format>
    <format dxfId="1722">
      <pivotArea type="all" dataOnly="0" outline="0" fieldPosition="0"/>
    </format>
    <format dxfId="1721">
      <pivotArea type="all" dataOnly="0" outline="0" fieldPosition="0"/>
    </format>
    <format dxfId="1720">
      <pivotArea type="all" dataOnly="0" outline="0" fieldPosition="0"/>
    </format>
    <format dxfId="1719">
      <pivotArea type="all" dataOnly="0" outline="0" fieldPosition="0"/>
    </format>
    <format dxfId="1718">
      <pivotArea outline="0" collapsedLevelsAreSubtotals="1" fieldPosition="0"/>
    </format>
    <format dxfId="1717">
      <pivotArea dataOnly="0" labelOnly="1" outline="0" axis="axisValues" fieldPosition="0"/>
    </format>
    <format dxfId="1716">
      <pivotArea type="all" dataOnly="0" outline="0" fieldPosition="0"/>
    </format>
    <format dxfId="1715">
      <pivotArea outline="0" collapsedLevelsAreSubtotals="1" fieldPosition="0"/>
    </format>
    <format dxfId="1714">
      <pivotArea dataOnly="0" labelOnly="1" outline="0" axis="axisValues" fieldPosition="0"/>
    </format>
    <format dxfId="1713">
      <pivotArea type="all" dataOnly="0" outline="0" fieldPosition="0"/>
    </format>
    <format dxfId="1712">
      <pivotArea outline="0" collapsedLevelsAreSubtotals="1" fieldPosition="0"/>
    </format>
    <format dxfId="1711">
      <pivotArea dataOnly="0" labelOnly="1" outline="0" axis="axisValues" fieldPosition="0"/>
    </format>
    <format dxfId="1710">
      <pivotArea type="all" dataOnly="0" outline="0" fieldPosition="0"/>
    </format>
    <format dxfId="1709">
      <pivotArea outline="0" collapsedLevelsAreSubtotals="1" fieldPosition="0"/>
    </format>
    <format dxfId="1708">
      <pivotArea dataOnly="0" labelOnly="1" outline="0" axis="axisValues" fieldPosition="0"/>
    </format>
    <format dxfId="1707">
      <pivotArea type="all" dataOnly="0" outline="0" fieldPosition="0"/>
    </format>
    <format dxfId="1706">
      <pivotArea outline="0" collapsedLevelsAreSubtotals="1" fieldPosition="0"/>
    </format>
    <format dxfId="1705">
      <pivotArea dataOnly="0" labelOnly="1" outline="0" axis="axisValues" fieldPosition="0"/>
    </format>
    <format dxfId="1704">
      <pivotArea type="all" dataOnly="0" outline="0" fieldPosition="0"/>
    </format>
    <format dxfId="1703">
      <pivotArea outline="0" collapsedLevelsAreSubtotals="1" fieldPosition="0"/>
    </format>
    <format dxfId="17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EDBF49CA-68D0-4C27-AFF9-A988949B7C99}" name="PivotTable43"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15:H116"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h="1" x="1"/>
        <item h="1" x="2"/>
        <item x="0"/>
        <item h="1"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1757">
      <pivotArea type="all" dataOnly="0" outline="0" fieldPosition="0"/>
    </format>
    <format dxfId="1756">
      <pivotArea type="all" dataOnly="0" outline="0" fieldPosition="0"/>
    </format>
    <format dxfId="1755">
      <pivotArea type="all" dataOnly="0" outline="0" fieldPosition="0"/>
    </format>
    <format dxfId="1754">
      <pivotArea type="all" dataOnly="0" outline="0" fieldPosition="0"/>
    </format>
    <format dxfId="1753">
      <pivotArea type="all" dataOnly="0" outline="0" fieldPosition="0"/>
    </format>
    <format dxfId="1752">
      <pivotArea type="all" dataOnly="0" outline="0" fieldPosition="0"/>
    </format>
    <format dxfId="1751">
      <pivotArea type="all" dataOnly="0" outline="0" fieldPosition="0"/>
    </format>
    <format dxfId="1750">
      <pivotArea type="all" dataOnly="0" outline="0" fieldPosition="0"/>
    </format>
    <format dxfId="1749">
      <pivotArea type="all" dataOnly="0" outline="0" fieldPosition="0"/>
    </format>
    <format dxfId="1748">
      <pivotArea type="all" dataOnly="0" outline="0" fieldPosition="0"/>
    </format>
    <format dxfId="1747">
      <pivotArea type="all" dataOnly="0" outline="0" fieldPosition="0"/>
    </format>
    <format dxfId="1746">
      <pivotArea outline="0" collapsedLevelsAreSubtotals="1" fieldPosition="0"/>
    </format>
    <format dxfId="1745">
      <pivotArea dataOnly="0" labelOnly="1" outline="0" axis="axisValues" fieldPosition="0"/>
    </format>
    <format dxfId="1744">
      <pivotArea type="all" dataOnly="0" outline="0" fieldPosition="0"/>
    </format>
    <format dxfId="1743">
      <pivotArea outline="0" collapsedLevelsAreSubtotals="1" fieldPosition="0"/>
    </format>
    <format dxfId="1742">
      <pivotArea dataOnly="0" labelOnly="1" outline="0" axis="axisValues" fieldPosition="0"/>
    </format>
    <format dxfId="1741">
      <pivotArea type="all" dataOnly="0" outline="0" fieldPosition="0"/>
    </format>
    <format dxfId="1740">
      <pivotArea outline="0" collapsedLevelsAreSubtotals="1" fieldPosition="0"/>
    </format>
    <format dxfId="1739">
      <pivotArea dataOnly="0" labelOnly="1" outline="0" axis="axisValues" fieldPosition="0"/>
    </format>
    <format dxfId="1738">
      <pivotArea type="all" dataOnly="0" outline="0" fieldPosition="0"/>
    </format>
    <format dxfId="1737">
      <pivotArea outline="0" collapsedLevelsAreSubtotals="1" fieldPosition="0"/>
    </format>
    <format dxfId="1736">
      <pivotArea dataOnly="0" labelOnly="1" outline="0" axis="axisValues" fieldPosition="0"/>
    </format>
    <format dxfId="1735">
      <pivotArea type="all" dataOnly="0" outline="0" fieldPosition="0"/>
    </format>
    <format dxfId="1734">
      <pivotArea outline="0" collapsedLevelsAreSubtotals="1" fieldPosition="0"/>
    </format>
    <format dxfId="1733">
      <pivotArea dataOnly="0" labelOnly="1" outline="0" axis="axisValues" fieldPosition="0"/>
    </format>
    <format dxfId="1732">
      <pivotArea type="all" dataOnly="0" outline="0" fieldPosition="0"/>
    </format>
    <format dxfId="1731">
      <pivotArea outline="0" collapsedLevelsAreSubtotals="1" fieldPosition="0"/>
    </format>
    <format dxfId="173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488842E8-49C5-4DBD-ABB1-EA07E4471861}" name="PivotTable59"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01:H202"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x="1"/>
        <item h="1"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1785">
      <pivotArea type="all" dataOnly="0" outline="0" fieldPosition="0"/>
    </format>
    <format dxfId="1784">
      <pivotArea type="all" dataOnly="0" outline="0" fieldPosition="0"/>
    </format>
    <format dxfId="1783">
      <pivotArea type="all" dataOnly="0" outline="0" fieldPosition="0"/>
    </format>
    <format dxfId="1782">
      <pivotArea type="all" dataOnly="0" outline="0" fieldPosition="0"/>
    </format>
    <format dxfId="1781">
      <pivotArea type="all" dataOnly="0" outline="0" fieldPosition="0"/>
    </format>
    <format dxfId="1780">
      <pivotArea type="all" dataOnly="0" outline="0" fieldPosition="0"/>
    </format>
    <format dxfId="1779">
      <pivotArea type="all" dataOnly="0" outline="0" fieldPosition="0"/>
    </format>
    <format dxfId="1778">
      <pivotArea type="all" dataOnly="0" outline="0" fieldPosition="0"/>
    </format>
    <format dxfId="1777">
      <pivotArea type="all" dataOnly="0" outline="0" fieldPosition="0"/>
    </format>
    <format dxfId="1776">
      <pivotArea type="all" dataOnly="0" outline="0" fieldPosition="0"/>
    </format>
    <format dxfId="1775">
      <pivotArea type="all" dataOnly="0" outline="0" fieldPosition="0"/>
    </format>
    <format dxfId="1774">
      <pivotArea outline="0" collapsedLevelsAreSubtotals="1" fieldPosition="0"/>
    </format>
    <format dxfId="1773">
      <pivotArea dataOnly="0" labelOnly="1" outline="0" axis="axisValues" fieldPosition="0"/>
    </format>
    <format dxfId="1772">
      <pivotArea type="all" dataOnly="0" outline="0" fieldPosition="0"/>
    </format>
    <format dxfId="1771">
      <pivotArea outline="0" collapsedLevelsAreSubtotals="1" fieldPosition="0"/>
    </format>
    <format dxfId="1770">
      <pivotArea dataOnly="0" labelOnly="1" outline="0" axis="axisValues" fieldPosition="0"/>
    </format>
    <format dxfId="1769">
      <pivotArea type="all" dataOnly="0" outline="0" fieldPosition="0"/>
    </format>
    <format dxfId="1768">
      <pivotArea outline="0" collapsedLevelsAreSubtotals="1" fieldPosition="0"/>
    </format>
    <format dxfId="1767">
      <pivotArea dataOnly="0" labelOnly="1" outline="0" axis="axisValues" fieldPosition="0"/>
    </format>
    <format dxfId="1766">
      <pivotArea type="all" dataOnly="0" outline="0" fieldPosition="0"/>
    </format>
    <format dxfId="1765">
      <pivotArea outline="0" collapsedLevelsAreSubtotals="1" fieldPosition="0"/>
    </format>
    <format dxfId="1764">
      <pivotArea dataOnly="0" labelOnly="1" outline="0" axis="axisValues" fieldPosition="0"/>
    </format>
    <format dxfId="1763">
      <pivotArea type="all" dataOnly="0" outline="0" fieldPosition="0"/>
    </format>
    <format dxfId="1762">
      <pivotArea outline="0" collapsedLevelsAreSubtotals="1" fieldPosition="0"/>
    </format>
    <format dxfId="1761">
      <pivotArea dataOnly="0" labelOnly="1" outline="0" axis="axisValues" fieldPosition="0"/>
    </format>
    <format dxfId="1760">
      <pivotArea type="all" dataOnly="0" outline="0" fieldPosition="0"/>
    </format>
    <format dxfId="1759">
      <pivotArea outline="0" collapsedLevelsAreSubtotals="1" fieldPosition="0"/>
    </format>
    <format dxfId="17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95A560B6-7ADF-488F-A7E1-63C57125F9F5}" name="PivotTable66"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01:E202"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x="1"/>
        <item h="1"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1813">
      <pivotArea type="all" dataOnly="0" outline="0" fieldPosition="0"/>
    </format>
    <format dxfId="1812">
      <pivotArea type="all" dataOnly="0" outline="0" fieldPosition="0"/>
    </format>
    <format dxfId="1811">
      <pivotArea type="all" dataOnly="0" outline="0" fieldPosition="0"/>
    </format>
    <format dxfId="1810">
      <pivotArea type="all" dataOnly="0" outline="0" fieldPosition="0"/>
    </format>
    <format dxfId="1809">
      <pivotArea type="all" dataOnly="0" outline="0" fieldPosition="0"/>
    </format>
    <format dxfId="1808">
      <pivotArea type="all" dataOnly="0" outline="0" fieldPosition="0"/>
    </format>
    <format dxfId="1807">
      <pivotArea type="all" dataOnly="0" outline="0" fieldPosition="0"/>
    </format>
    <format dxfId="1806">
      <pivotArea type="all" dataOnly="0" outline="0" fieldPosition="0"/>
    </format>
    <format dxfId="1805">
      <pivotArea type="all" dataOnly="0" outline="0" fieldPosition="0"/>
    </format>
    <format dxfId="1804">
      <pivotArea type="all" dataOnly="0" outline="0" fieldPosition="0"/>
    </format>
    <format dxfId="1803">
      <pivotArea type="all" dataOnly="0" outline="0" fieldPosition="0"/>
    </format>
    <format dxfId="1802">
      <pivotArea outline="0" collapsedLevelsAreSubtotals="1" fieldPosition="0"/>
    </format>
    <format dxfId="1801">
      <pivotArea dataOnly="0" labelOnly="1" outline="0" axis="axisValues" fieldPosition="0"/>
    </format>
    <format dxfId="1800">
      <pivotArea type="all" dataOnly="0" outline="0" fieldPosition="0"/>
    </format>
    <format dxfId="1799">
      <pivotArea outline="0" collapsedLevelsAreSubtotals="1" fieldPosition="0"/>
    </format>
    <format dxfId="1798">
      <pivotArea dataOnly="0" labelOnly="1" outline="0" axis="axisValues" fieldPosition="0"/>
    </format>
    <format dxfId="1797">
      <pivotArea type="all" dataOnly="0" outline="0" fieldPosition="0"/>
    </format>
    <format dxfId="1796">
      <pivotArea outline="0" collapsedLevelsAreSubtotals="1" fieldPosition="0"/>
    </format>
    <format dxfId="1795">
      <pivotArea dataOnly="0" labelOnly="1" outline="0" axis="axisValues" fieldPosition="0"/>
    </format>
    <format dxfId="1794">
      <pivotArea type="all" dataOnly="0" outline="0" fieldPosition="0"/>
    </format>
    <format dxfId="1793">
      <pivotArea outline="0" collapsedLevelsAreSubtotals="1" fieldPosition="0"/>
    </format>
    <format dxfId="1792">
      <pivotArea dataOnly="0" labelOnly="1" outline="0" axis="axisValues" fieldPosition="0"/>
    </format>
    <format dxfId="1791">
      <pivotArea type="all" dataOnly="0" outline="0" fieldPosition="0"/>
    </format>
    <format dxfId="1790">
      <pivotArea outline="0" collapsedLevelsAreSubtotals="1" fieldPosition="0"/>
    </format>
    <format dxfId="1789">
      <pivotArea dataOnly="0" labelOnly="1" outline="0" axis="axisValues" fieldPosition="0"/>
    </format>
    <format dxfId="1788">
      <pivotArea type="all" dataOnly="0" outline="0" fieldPosition="0"/>
    </format>
    <format dxfId="1787">
      <pivotArea outline="0" collapsedLevelsAreSubtotals="1" fieldPosition="0"/>
    </format>
    <format dxfId="178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A8114087-126D-4945-AD20-39D26BC5B056}" name="PivotTable30" cacheId="4"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46:C252" firstHeaderRow="1" firstDataRow="1" firstDataCol="1" rowPageCount="1" colPageCount="1"/>
  <pivotFields count="66">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4">
        <item x="0"/>
        <item h="1" x="1"/>
        <item h="1" x="2"/>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axis="axisRow" showAll="0">
      <items count="7">
        <item x="2"/>
        <item x="4"/>
        <item x="5"/>
        <item x="1"/>
        <item x="3"/>
        <item h="1" x="0"/>
        <item t="default"/>
      </items>
    </pivotField>
    <pivotField showAll="0"/>
    <pivotField showAll="0"/>
    <pivotField showAll="0"/>
    <pivotField showAll="0"/>
    <pivotField showAll="0"/>
    <pivotField showAll="0"/>
    <pivotField showAll="0"/>
  </pivotFields>
  <rowFields count="1">
    <field x="58"/>
  </rowFields>
  <rowItems count="6">
    <i>
      <x/>
    </i>
    <i>
      <x v="1"/>
    </i>
    <i>
      <x v="2"/>
    </i>
    <i>
      <x v="3"/>
    </i>
    <i>
      <x v="4"/>
    </i>
    <i t="grand">
      <x/>
    </i>
  </rowItems>
  <colItems count="1">
    <i/>
  </colItems>
  <pageFields count="1">
    <pageField fld="7" hier="-1"/>
  </pageFields>
  <dataFields count="1">
    <dataField name="Sum of Net Dwellings" fld="40" baseField="0" baseItem="0"/>
  </dataFields>
  <formats count="26">
    <format dxfId="1839">
      <pivotArea type="all" dataOnly="0" outline="0" fieldPosition="0"/>
    </format>
    <format dxfId="1838">
      <pivotArea type="all" dataOnly="0" outline="0" fieldPosition="0"/>
    </format>
    <format dxfId="1837">
      <pivotArea type="all" dataOnly="0" outline="0" fieldPosition="0"/>
    </format>
    <format dxfId="1836">
      <pivotArea type="all" dataOnly="0" outline="0" fieldPosition="0"/>
    </format>
    <format dxfId="1835">
      <pivotArea type="all" dataOnly="0" outline="0" fieldPosition="0"/>
    </format>
    <format dxfId="1834">
      <pivotArea type="all" dataOnly="0" outline="0" fieldPosition="0"/>
    </format>
    <format dxfId="1833">
      <pivotArea type="all" dataOnly="0" outline="0" fieldPosition="0"/>
    </format>
    <format dxfId="1832">
      <pivotArea type="all" dataOnly="0" outline="0" fieldPosition="0"/>
    </format>
    <format dxfId="1831">
      <pivotArea type="all" dataOnly="0" outline="0" fieldPosition="0"/>
    </format>
    <format dxfId="1830">
      <pivotArea type="all" dataOnly="0" outline="0" fieldPosition="0"/>
    </format>
    <format dxfId="1829">
      <pivotArea type="all" dataOnly="0" outline="0" fieldPosition="0"/>
    </format>
    <format dxfId="1828">
      <pivotArea outline="0" collapsedLevelsAreSubtotals="1" fieldPosition="0"/>
    </format>
    <format dxfId="1827">
      <pivotArea dataOnly="0" labelOnly="1" grandRow="1" outline="0" fieldPosition="0"/>
    </format>
    <format dxfId="1826">
      <pivotArea dataOnly="0" labelOnly="1" outline="0" axis="axisValues" fieldPosition="0"/>
    </format>
    <format dxfId="1825">
      <pivotArea type="all" dataOnly="0" outline="0" fieldPosition="0"/>
    </format>
    <format dxfId="1824">
      <pivotArea outline="0" collapsedLevelsAreSubtotals="1" fieldPosition="0"/>
    </format>
    <format dxfId="1823">
      <pivotArea field="58" type="button" dataOnly="0" labelOnly="1" outline="0" axis="axisRow" fieldPosition="0"/>
    </format>
    <format dxfId="1822">
      <pivotArea dataOnly="0" labelOnly="1" fieldPosition="0">
        <references count="1">
          <reference field="58" count="0"/>
        </references>
      </pivotArea>
    </format>
    <format dxfId="1821">
      <pivotArea dataOnly="0" labelOnly="1" grandRow="1" outline="0" fieldPosition="0"/>
    </format>
    <format dxfId="1820">
      <pivotArea dataOnly="0" labelOnly="1" outline="0" axis="axisValues" fieldPosition="0"/>
    </format>
    <format dxfId="1819">
      <pivotArea type="all" dataOnly="0" outline="0" fieldPosition="0"/>
    </format>
    <format dxfId="1818">
      <pivotArea outline="0" collapsedLevelsAreSubtotals="1" fieldPosition="0"/>
    </format>
    <format dxfId="1817">
      <pivotArea field="58" type="button" dataOnly="0" labelOnly="1" outline="0" axis="axisRow" fieldPosition="0"/>
    </format>
    <format dxfId="1816">
      <pivotArea dataOnly="0" labelOnly="1" fieldPosition="0">
        <references count="1">
          <reference field="58" count="0"/>
        </references>
      </pivotArea>
    </format>
    <format dxfId="1815">
      <pivotArea dataOnly="0" labelOnly="1" grandRow="1" outline="0" fieldPosition="0"/>
    </format>
    <format dxfId="18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5D784AB0-FDA7-4737-BEC3-9A5A74B43A1B}" name="PivotTable25" cacheId="3"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22:E223" firstHeaderRow="1" firstDataRow="1" firstDataCol="0" rowPageCount="3" colPageCount="1"/>
  <pivotFields count="57">
    <pivotField showAll="0" defaultSubtotal="0"/>
    <pivotField axis="axisPage" multipleItemSelectionAllowed="1" showAll="0" defaultSubtotal="0">
      <items count="6">
        <item x="1"/>
        <item x="2"/>
        <item x="4"/>
        <item h="1" x="3"/>
        <item h="1"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6"/>
        <item h="1" x="4"/>
        <item h="1" m="1" x="5"/>
        <item h="1" x="3"/>
      </items>
    </pivotField>
    <pivotField axis="axisPage" multipleItemSelectionAllowed="1" showAll="0" defaultSubtotal="0">
      <items count="8">
        <item x="1"/>
        <item x="2"/>
        <item x="0"/>
        <item x="3"/>
        <item m="1" x="7"/>
        <item m="1" x="6"/>
        <item x="4"/>
        <item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867">
      <pivotArea type="all" dataOnly="0" outline="0" fieldPosition="0"/>
    </format>
    <format dxfId="1866">
      <pivotArea type="all" dataOnly="0" outline="0" fieldPosition="0"/>
    </format>
    <format dxfId="1865">
      <pivotArea type="all" dataOnly="0" outline="0" fieldPosition="0"/>
    </format>
    <format dxfId="1864">
      <pivotArea type="all" dataOnly="0" outline="0" fieldPosition="0"/>
    </format>
    <format dxfId="1863">
      <pivotArea type="all" dataOnly="0" outline="0" fieldPosition="0"/>
    </format>
    <format dxfId="1862">
      <pivotArea type="all" dataOnly="0" outline="0" fieldPosition="0"/>
    </format>
    <format dxfId="1861">
      <pivotArea type="all" dataOnly="0" outline="0" fieldPosition="0"/>
    </format>
    <format dxfId="1860">
      <pivotArea type="all" dataOnly="0" outline="0" fieldPosition="0"/>
    </format>
    <format dxfId="1859">
      <pivotArea type="all" dataOnly="0" outline="0" fieldPosition="0"/>
    </format>
    <format dxfId="1858">
      <pivotArea type="all" dataOnly="0" outline="0" fieldPosition="0"/>
    </format>
    <format dxfId="1857">
      <pivotArea type="all" dataOnly="0" outline="0" fieldPosition="0"/>
    </format>
    <format dxfId="1856">
      <pivotArea outline="0" collapsedLevelsAreSubtotals="1" fieldPosition="0"/>
    </format>
    <format dxfId="1855">
      <pivotArea dataOnly="0" labelOnly="1" outline="0" axis="axisValues" fieldPosition="0"/>
    </format>
    <format dxfId="1854">
      <pivotArea type="all" dataOnly="0" outline="0" fieldPosition="0"/>
    </format>
    <format dxfId="1853">
      <pivotArea outline="0" collapsedLevelsAreSubtotals="1" fieldPosition="0"/>
    </format>
    <format dxfId="1852">
      <pivotArea dataOnly="0" labelOnly="1" outline="0" axis="axisValues" fieldPosition="0"/>
    </format>
    <format dxfId="1851">
      <pivotArea type="all" dataOnly="0" outline="0" fieldPosition="0"/>
    </format>
    <format dxfId="1850">
      <pivotArea outline="0" collapsedLevelsAreSubtotals="1" fieldPosition="0"/>
    </format>
    <format dxfId="1849">
      <pivotArea dataOnly="0" labelOnly="1" outline="0" axis="axisValues" fieldPosition="0"/>
    </format>
    <format dxfId="1848">
      <pivotArea type="all" dataOnly="0" outline="0" fieldPosition="0"/>
    </format>
    <format dxfId="1847">
      <pivotArea outline="0" collapsedLevelsAreSubtotals="1" fieldPosition="0"/>
    </format>
    <format dxfId="1846">
      <pivotArea dataOnly="0" labelOnly="1" outline="0" axis="axisValues" fieldPosition="0"/>
    </format>
    <format dxfId="1845">
      <pivotArea type="all" dataOnly="0" outline="0" fieldPosition="0"/>
    </format>
    <format dxfId="1844">
      <pivotArea outline="0" collapsedLevelsAreSubtotals="1" fieldPosition="0"/>
    </format>
    <format dxfId="1843">
      <pivotArea dataOnly="0" labelOnly="1" outline="0" axis="axisValues" fieldPosition="0"/>
    </format>
    <format dxfId="1842">
      <pivotArea type="all" dataOnly="0" outline="0" fieldPosition="0"/>
    </format>
    <format dxfId="1841">
      <pivotArea outline="0" collapsedLevelsAreSubtotals="1" fieldPosition="0"/>
    </format>
    <format dxfId="184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A0740527-870D-4395-B49F-F736786B48A1}" name="PivotTable28"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270:F289"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sortType="ascending" defaultSubtotal="0">
      <items count="19">
        <item x="17"/>
        <item x="7"/>
        <item x="11"/>
        <item x="15"/>
        <item x="8"/>
        <item x="16"/>
        <item x="3"/>
        <item x="14"/>
        <item x="9"/>
        <item x="6"/>
        <item x="18"/>
        <item x="12"/>
        <item x="4"/>
        <item x="5"/>
        <item x="1"/>
        <item x="0"/>
        <item x="10"/>
        <item x="2"/>
        <item x="13"/>
      </items>
    </pivotField>
  </pivotFields>
  <rowFields count="1">
    <field x="56"/>
  </rowFields>
  <rowItems count="19">
    <i>
      <x/>
    </i>
    <i>
      <x v="1"/>
    </i>
    <i>
      <x v="2"/>
    </i>
    <i>
      <x v="3"/>
    </i>
    <i>
      <x v="4"/>
    </i>
    <i>
      <x v="5"/>
    </i>
    <i>
      <x v="6"/>
    </i>
    <i>
      <x v="7"/>
    </i>
    <i>
      <x v="8"/>
    </i>
    <i>
      <x v="9"/>
    </i>
    <i>
      <x v="11"/>
    </i>
    <i>
      <x v="12"/>
    </i>
    <i>
      <x v="13"/>
    </i>
    <i>
      <x v="14"/>
    </i>
    <i>
      <x v="15"/>
    </i>
    <i>
      <x v="16"/>
    </i>
    <i>
      <x v="17"/>
    </i>
    <i>
      <x v="18"/>
    </i>
    <i t="grand">
      <x/>
    </i>
  </rowItems>
  <colItems count="1">
    <i/>
  </colItems>
  <pageFields count="1">
    <pageField fld="7" hier="-1"/>
  </pageFields>
  <dataFields count="1">
    <dataField name="Sum of Net Dwellings" fld="40" baseField="0" baseItem="0"/>
  </dataFields>
  <formats count="27">
    <format dxfId="1894">
      <pivotArea type="all" dataOnly="0" outline="0" fieldPosition="0"/>
    </format>
    <format dxfId="1893">
      <pivotArea type="all" dataOnly="0" outline="0" fieldPosition="0"/>
    </format>
    <format dxfId="1892">
      <pivotArea type="all" dataOnly="0" outline="0" fieldPosition="0"/>
    </format>
    <format dxfId="1891">
      <pivotArea type="all" dataOnly="0" outline="0" fieldPosition="0"/>
    </format>
    <format dxfId="1890">
      <pivotArea type="all" dataOnly="0" outline="0" fieldPosition="0"/>
    </format>
    <format dxfId="1889">
      <pivotArea type="all" dataOnly="0" outline="0" fieldPosition="0"/>
    </format>
    <format dxfId="1888">
      <pivotArea type="all" dataOnly="0" outline="0" fieldPosition="0"/>
    </format>
    <format dxfId="1887">
      <pivotArea type="all" dataOnly="0" outline="0" fieldPosition="0"/>
    </format>
    <format dxfId="1886">
      <pivotArea type="all" dataOnly="0" outline="0" fieldPosition="0"/>
    </format>
    <format dxfId="1885">
      <pivotArea type="all" dataOnly="0" outline="0" fieldPosition="0"/>
    </format>
    <format dxfId="1884">
      <pivotArea type="all" dataOnly="0" outline="0" fieldPosition="0"/>
    </format>
    <format dxfId="1883">
      <pivotArea outline="0" collapsedLevelsAreSubtotals="1" fieldPosition="0"/>
    </format>
    <format dxfId="1882">
      <pivotArea field="56" type="button" dataOnly="0" labelOnly="1" outline="0" axis="axisRow" fieldPosition="0"/>
    </format>
    <format dxfId="1881">
      <pivotArea dataOnly="0" labelOnly="1" grandRow="1" outline="0" fieldPosition="0"/>
    </format>
    <format dxfId="1880">
      <pivotArea dataOnly="0" labelOnly="1" outline="0" axis="axisValues" fieldPosition="0"/>
    </format>
    <format dxfId="1879">
      <pivotArea type="all" dataOnly="0" outline="0" fieldPosition="0"/>
    </format>
    <format dxfId="1878">
      <pivotArea outline="0" collapsedLevelsAreSubtotals="1" fieldPosition="0"/>
    </format>
    <format dxfId="1877">
      <pivotArea field="56" type="button" dataOnly="0" labelOnly="1" outline="0" axis="axisRow" fieldPosition="0"/>
    </format>
    <format dxfId="1876">
      <pivotArea dataOnly="0" labelOnly="1" fieldPosition="0">
        <references count="1">
          <reference field="56" count="18">
            <x v="0"/>
            <x v="1"/>
            <x v="2"/>
            <x v="3"/>
            <x v="4"/>
            <x v="5"/>
            <x v="6"/>
            <x v="7"/>
            <x v="8"/>
            <x v="9"/>
            <x v="11"/>
            <x v="12"/>
            <x v="13"/>
            <x v="14"/>
            <x v="15"/>
            <x v="16"/>
            <x v="17"/>
            <x v="18"/>
          </reference>
        </references>
      </pivotArea>
    </format>
    <format dxfId="1875">
      <pivotArea dataOnly="0" labelOnly="1" grandRow="1" outline="0" fieldPosition="0"/>
    </format>
    <format dxfId="1874">
      <pivotArea dataOnly="0" labelOnly="1" outline="0" axis="axisValues" fieldPosition="0"/>
    </format>
    <format dxfId="1873">
      <pivotArea type="all" dataOnly="0" outline="0" fieldPosition="0"/>
    </format>
    <format dxfId="1872">
      <pivotArea outline="0" collapsedLevelsAreSubtotals="1" fieldPosition="0"/>
    </format>
    <format dxfId="1871">
      <pivotArea field="56" type="button" dataOnly="0" labelOnly="1" outline="0" axis="axisRow" fieldPosition="0"/>
    </format>
    <format dxfId="1870">
      <pivotArea dataOnly="0" labelOnly="1" fieldPosition="0">
        <references count="1">
          <reference field="56" count="18">
            <x v="0"/>
            <x v="1"/>
            <x v="2"/>
            <x v="3"/>
            <x v="4"/>
            <x v="5"/>
            <x v="6"/>
            <x v="7"/>
            <x v="8"/>
            <x v="9"/>
            <x v="11"/>
            <x v="12"/>
            <x v="13"/>
            <x v="14"/>
            <x v="15"/>
            <x v="16"/>
            <x v="17"/>
            <x v="18"/>
          </reference>
        </references>
      </pivotArea>
    </format>
    <format dxfId="1869">
      <pivotArea dataOnly="0" labelOnly="1" grandRow="1" outline="0" fieldPosition="0"/>
    </format>
    <format dxfId="186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9C9B38E6-55ED-47D7-BC63-0FBDB9827053}" name="PivotTable78"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363:F382" firstHeaderRow="1" firstDataRow="1" firstDataCol="1" rowPageCount="3" colPageCount="1"/>
  <pivotFields count="68">
    <pivotField showAll="0" defaultSubtotal="0"/>
    <pivotField axis="axisPage" multipleItemSelectionAllowed="1" showAll="0" defaultSubtotal="0">
      <items count="5">
        <item h="1" x="1"/>
        <item h="1" x="2"/>
        <item h="1" x="4"/>
        <item x="3"/>
        <item x="0"/>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9">
    <i>
      <x/>
    </i>
    <i>
      <x v="1"/>
    </i>
    <i>
      <x v="2"/>
    </i>
    <i>
      <x v="3"/>
    </i>
    <i>
      <x v="4"/>
    </i>
    <i>
      <x v="5"/>
    </i>
    <i>
      <x v="6"/>
    </i>
    <i>
      <x v="7"/>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40" baseField="0" baseItem="0"/>
  </dataFields>
  <formats count="34">
    <format dxfId="1928">
      <pivotArea type="all" dataOnly="0" outline="0" fieldPosition="0"/>
    </format>
    <format dxfId="1927">
      <pivotArea type="all" dataOnly="0" outline="0" fieldPosition="0"/>
    </format>
    <format dxfId="1926">
      <pivotArea type="all" dataOnly="0" outline="0" fieldPosition="0"/>
    </format>
    <format dxfId="1925">
      <pivotArea type="all" dataOnly="0" outline="0" fieldPosition="0"/>
    </format>
    <format dxfId="1924">
      <pivotArea type="all" dataOnly="0" outline="0" fieldPosition="0"/>
    </format>
    <format dxfId="1923">
      <pivotArea type="all" dataOnly="0" outline="0" fieldPosition="0"/>
    </format>
    <format dxfId="1922">
      <pivotArea type="all" dataOnly="0" outline="0" fieldPosition="0"/>
    </format>
    <format dxfId="1921">
      <pivotArea field="56" type="button" dataOnly="0" labelOnly="1" outline="0" axis="axisRow" fieldPosition="0"/>
    </format>
    <format dxfId="1920">
      <pivotArea dataOnly="0" labelOnly="1" outline="0" fieldPosition="0">
        <references count="1">
          <reference field="4294967294" count="1">
            <x v="0"/>
          </reference>
        </references>
      </pivotArea>
    </format>
    <format dxfId="1919">
      <pivotArea field="56" type="button" dataOnly="0" labelOnly="1" outline="0" axis="axisRow" fieldPosition="0"/>
    </format>
    <format dxfId="1918">
      <pivotArea dataOnly="0" labelOnly="1" outline="0" fieldPosition="0">
        <references count="1">
          <reference field="4294967294" count="1">
            <x v="0"/>
          </reference>
        </references>
      </pivotArea>
    </format>
    <format dxfId="1917">
      <pivotArea field="56" type="button" dataOnly="0" labelOnly="1" outline="0" axis="axisRow" fieldPosition="0"/>
    </format>
    <format dxfId="1916">
      <pivotArea dataOnly="0" labelOnly="1" outline="0" fieldPosition="0">
        <references count="1">
          <reference field="4294967294" count="1">
            <x v="0"/>
          </reference>
        </references>
      </pivotArea>
    </format>
    <format dxfId="1915">
      <pivotArea type="all" dataOnly="0" outline="0" fieldPosition="0"/>
    </format>
    <format dxfId="1914">
      <pivotArea type="all" dataOnly="0" outline="0" fieldPosition="0"/>
    </format>
    <format dxfId="1913">
      <pivotArea type="all" dataOnly="0" outline="0" fieldPosition="0"/>
    </format>
    <format dxfId="1912">
      <pivotArea type="all" dataOnly="0" outline="0" fieldPosition="0"/>
    </format>
    <format dxfId="1911">
      <pivotArea outline="0" collapsedLevelsAreSubtotals="1" fieldPosition="0"/>
    </format>
    <format dxfId="1910">
      <pivotArea field="56" type="button" dataOnly="0" labelOnly="1" outline="0" axis="axisRow" fieldPosition="0"/>
    </format>
    <format dxfId="1909">
      <pivotArea dataOnly="0" labelOnly="1" fieldPosition="0">
        <references count="1">
          <reference field="56" count="16">
            <x v="0"/>
            <x v="1"/>
            <x v="2"/>
            <x v="3"/>
            <x v="4"/>
            <x v="5"/>
            <x v="6"/>
            <x v="8"/>
            <x v="9"/>
            <x v="10"/>
            <x v="11"/>
            <x v="12"/>
            <x v="14"/>
            <x v="15"/>
            <x v="16"/>
            <x v="17"/>
          </reference>
        </references>
      </pivotArea>
    </format>
    <format dxfId="1908">
      <pivotArea dataOnly="0" labelOnly="1" grandRow="1" outline="0" fieldPosition="0"/>
    </format>
    <format dxfId="1907">
      <pivotArea dataOnly="0" labelOnly="1" outline="0" axis="axisValues" fieldPosition="0"/>
    </format>
    <format dxfId="1906">
      <pivotArea type="all" dataOnly="0" outline="0" fieldPosition="0"/>
    </format>
    <format dxfId="1905">
      <pivotArea outline="0" collapsedLevelsAreSubtotals="1" fieldPosition="0"/>
    </format>
    <format dxfId="1904">
      <pivotArea field="56" type="button" dataOnly="0" labelOnly="1" outline="0" axis="axisRow" fieldPosition="0"/>
    </format>
    <format dxfId="1903">
      <pivotArea dataOnly="0" labelOnly="1" fieldPosition="0">
        <references count="1">
          <reference field="56" count="18">
            <x v="0"/>
            <x v="1"/>
            <x v="2"/>
            <x v="3"/>
            <x v="4"/>
            <x v="5"/>
            <x v="6"/>
            <x v="7"/>
            <x v="8"/>
            <x v="9"/>
            <x v="10"/>
            <x v="11"/>
            <x v="12"/>
            <x v="13"/>
            <x v="14"/>
            <x v="15"/>
            <x v="16"/>
            <x v="17"/>
          </reference>
        </references>
      </pivotArea>
    </format>
    <format dxfId="1902">
      <pivotArea dataOnly="0" labelOnly="1" grandRow="1" outline="0" fieldPosition="0"/>
    </format>
    <format dxfId="1901">
      <pivotArea dataOnly="0" labelOnly="1" outline="0" axis="axisValues" fieldPosition="0"/>
    </format>
    <format dxfId="1900">
      <pivotArea type="all" dataOnly="0" outline="0" fieldPosition="0"/>
    </format>
    <format dxfId="1899">
      <pivotArea outline="0" collapsedLevelsAreSubtotals="1" fieldPosition="0"/>
    </format>
    <format dxfId="1898">
      <pivotArea field="56" type="button" dataOnly="0" labelOnly="1" outline="0" axis="axisRow" fieldPosition="0"/>
    </format>
    <format dxfId="1897">
      <pivotArea dataOnly="0" labelOnly="1" fieldPosition="0">
        <references count="1">
          <reference field="56" count="18">
            <x v="0"/>
            <x v="1"/>
            <x v="2"/>
            <x v="3"/>
            <x v="4"/>
            <x v="5"/>
            <x v="6"/>
            <x v="7"/>
            <x v="8"/>
            <x v="9"/>
            <x v="10"/>
            <x v="11"/>
            <x v="12"/>
            <x v="13"/>
            <x v="14"/>
            <x v="15"/>
            <x v="16"/>
            <x v="17"/>
          </reference>
        </references>
      </pivotArea>
    </format>
    <format dxfId="1896">
      <pivotArea dataOnly="0" labelOnly="1" grandRow="1" outline="0" fieldPosition="0"/>
    </format>
    <format dxfId="18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AD5F008F-484E-4033-8410-5CA5E1EB5D9D}" name="PivotTable75"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64:E165"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1956">
      <pivotArea type="all" dataOnly="0" outline="0" fieldPosition="0"/>
    </format>
    <format dxfId="1955">
      <pivotArea type="all" dataOnly="0" outline="0" fieldPosition="0"/>
    </format>
    <format dxfId="1954">
      <pivotArea type="all" dataOnly="0" outline="0" fieldPosition="0"/>
    </format>
    <format dxfId="1953">
      <pivotArea type="all" dataOnly="0" outline="0" fieldPosition="0"/>
    </format>
    <format dxfId="1952">
      <pivotArea type="all" dataOnly="0" outline="0" fieldPosition="0"/>
    </format>
    <format dxfId="1951">
      <pivotArea type="all" dataOnly="0" outline="0" fieldPosition="0"/>
    </format>
    <format dxfId="1950">
      <pivotArea type="all" dataOnly="0" outline="0" fieldPosition="0"/>
    </format>
    <format dxfId="1949">
      <pivotArea type="all" dataOnly="0" outline="0" fieldPosition="0"/>
    </format>
    <format dxfId="1948">
      <pivotArea type="all" dataOnly="0" outline="0" fieldPosition="0"/>
    </format>
    <format dxfId="1947">
      <pivotArea type="all" dataOnly="0" outline="0" fieldPosition="0"/>
    </format>
    <format dxfId="1946">
      <pivotArea type="all" dataOnly="0" outline="0" fieldPosition="0"/>
    </format>
    <format dxfId="1945">
      <pivotArea outline="0" collapsedLevelsAreSubtotals="1" fieldPosition="0"/>
    </format>
    <format dxfId="1944">
      <pivotArea dataOnly="0" labelOnly="1" outline="0" axis="axisValues" fieldPosition="0"/>
    </format>
    <format dxfId="1943">
      <pivotArea type="all" dataOnly="0" outline="0" fieldPosition="0"/>
    </format>
    <format dxfId="1942">
      <pivotArea outline="0" collapsedLevelsAreSubtotals="1" fieldPosition="0"/>
    </format>
    <format dxfId="1941">
      <pivotArea dataOnly="0" labelOnly="1" outline="0" axis="axisValues" fieldPosition="0"/>
    </format>
    <format dxfId="1940">
      <pivotArea type="all" dataOnly="0" outline="0" fieldPosition="0"/>
    </format>
    <format dxfId="1939">
      <pivotArea outline="0" collapsedLevelsAreSubtotals="1" fieldPosition="0"/>
    </format>
    <format dxfId="1938">
      <pivotArea dataOnly="0" labelOnly="1" outline="0" axis="axisValues" fieldPosition="0"/>
    </format>
    <format dxfId="1937">
      <pivotArea type="all" dataOnly="0" outline="0" fieldPosition="0"/>
    </format>
    <format dxfId="1936">
      <pivotArea outline="0" collapsedLevelsAreSubtotals="1" fieldPosition="0"/>
    </format>
    <format dxfId="1935">
      <pivotArea dataOnly="0" labelOnly="1" outline="0" axis="axisValues" fieldPosition="0"/>
    </format>
    <format dxfId="1934">
      <pivotArea type="all" dataOnly="0" outline="0" fieldPosition="0"/>
    </format>
    <format dxfId="1933">
      <pivotArea outline="0" collapsedLevelsAreSubtotals="1" fieldPosition="0"/>
    </format>
    <format dxfId="1932">
      <pivotArea dataOnly="0" labelOnly="1" outline="0" axis="axisValues" fieldPosition="0"/>
    </format>
    <format dxfId="1931">
      <pivotArea type="all" dataOnly="0" outline="0" fieldPosition="0"/>
    </format>
    <format dxfId="1930">
      <pivotArea outline="0" collapsedLevelsAreSubtotals="1" fieldPosition="0"/>
    </format>
    <format dxfId="19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B55770A-A1FE-471F-8AB5-96AC26AFB966}" name="PivotTable70"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55:E156"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93">
      <pivotArea type="all" dataOnly="0" outline="0" fieldPosition="0"/>
    </format>
    <format dxfId="192">
      <pivotArea type="all" dataOnly="0" outline="0" fieldPosition="0"/>
    </format>
    <format dxfId="191">
      <pivotArea type="all" dataOnly="0" outline="0" fieldPosition="0"/>
    </format>
    <format dxfId="190">
      <pivotArea type="all" dataOnly="0" outline="0" fieldPosition="0"/>
    </format>
    <format dxfId="189">
      <pivotArea type="all" dataOnly="0" outline="0" fieldPosition="0"/>
    </format>
    <format dxfId="188">
      <pivotArea type="all" dataOnly="0" outline="0" fieldPosition="0"/>
    </format>
    <format dxfId="187">
      <pivotArea type="all" dataOnly="0" outline="0" fieldPosition="0"/>
    </format>
    <format dxfId="186">
      <pivotArea type="all" dataOnly="0" outline="0" fieldPosition="0"/>
    </format>
    <format dxfId="185">
      <pivotArea type="all" dataOnly="0" outline="0" fieldPosition="0"/>
    </format>
    <format dxfId="184">
      <pivotArea type="all" dataOnly="0" outline="0" fieldPosition="0"/>
    </format>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type="all" dataOnly="0" outline="0" fieldPosition="0"/>
    </format>
    <format dxfId="179">
      <pivotArea outline="0" collapsedLevelsAreSubtotals="1" fieldPosition="0"/>
    </format>
    <format dxfId="178">
      <pivotArea dataOnly="0" labelOnly="1" outline="0" axis="axisValues" fieldPosition="0"/>
    </format>
    <format dxfId="177">
      <pivotArea type="all" dataOnly="0" outline="0" fieldPosition="0"/>
    </format>
    <format dxfId="176">
      <pivotArea outline="0" collapsedLevelsAreSubtotals="1" fieldPosition="0"/>
    </format>
    <format dxfId="175">
      <pivotArea dataOnly="0" labelOnly="1" outline="0" axis="axisValues" fieldPosition="0"/>
    </format>
    <format dxfId="174">
      <pivotArea type="all" dataOnly="0" outline="0" fieldPosition="0"/>
    </format>
    <format dxfId="173">
      <pivotArea outline="0" collapsedLevelsAreSubtotals="1" fieldPosition="0"/>
    </format>
    <format dxfId="172">
      <pivotArea dataOnly="0" labelOnly="1" outline="0" axis="axisValues" fieldPosition="0"/>
    </format>
    <format dxfId="171">
      <pivotArea type="all" dataOnly="0" outline="0" fieldPosition="0"/>
    </format>
    <format dxfId="170">
      <pivotArea outline="0" collapsedLevelsAreSubtotals="1" fieldPosition="0"/>
    </format>
    <format dxfId="169">
      <pivotArea dataOnly="0" labelOnly="1" outline="0" axis="axisValues" fieldPosition="0"/>
    </format>
    <format dxfId="168">
      <pivotArea type="all" dataOnly="0" outline="0" fieldPosition="0"/>
    </format>
    <format dxfId="167">
      <pivotArea outline="0" collapsedLevelsAreSubtotals="1" fieldPosition="0"/>
    </format>
    <format dxfId="1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41249361-E2FB-4EC3-9AAD-E7304B2EC7F5}" name="PivotTable86"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K173:K17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h="1" x="1"/>
        <item h="1" x="2"/>
        <item h="1" x="0"/>
        <item h="1" m="1" x="6"/>
        <item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1984">
      <pivotArea type="all" dataOnly="0" outline="0" fieldPosition="0"/>
    </format>
    <format dxfId="1983">
      <pivotArea type="all" dataOnly="0" outline="0" fieldPosition="0"/>
    </format>
    <format dxfId="1982">
      <pivotArea type="all" dataOnly="0" outline="0" fieldPosition="0"/>
    </format>
    <format dxfId="1981">
      <pivotArea type="all" dataOnly="0" outline="0" fieldPosition="0"/>
    </format>
    <format dxfId="1980">
      <pivotArea type="all" dataOnly="0" outline="0" fieldPosition="0"/>
    </format>
    <format dxfId="1979">
      <pivotArea type="all" dataOnly="0" outline="0" fieldPosition="0"/>
    </format>
    <format dxfId="1978">
      <pivotArea type="all" dataOnly="0" outline="0" fieldPosition="0"/>
    </format>
    <format dxfId="1977">
      <pivotArea type="all" dataOnly="0" outline="0" fieldPosition="0"/>
    </format>
    <format dxfId="1976">
      <pivotArea type="all" dataOnly="0" outline="0" fieldPosition="0"/>
    </format>
    <format dxfId="1975">
      <pivotArea type="all" dataOnly="0" outline="0" fieldPosition="0"/>
    </format>
    <format dxfId="1974">
      <pivotArea type="all" dataOnly="0" outline="0" fieldPosition="0"/>
    </format>
    <format dxfId="1973">
      <pivotArea outline="0" collapsedLevelsAreSubtotals="1" fieldPosition="0"/>
    </format>
    <format dxfId="1972">
      <pivotArea dataOnly="0" labelOnly="1" outline="0" axis="axisValues" fieldPosition="0"/>
    </format>
    <format dxfId="1971">
      <pivotArea type="all" dataOnly="0" outline="0" fieldPosition="0"/>
    </format>
    <format dxfId="1970">
      <pivotArea outline="0" collapsedLevelsAreSubtotals="1" fieldPosition="0"/>
    </format>
    <format dxfId="1969">
      <pivotArea dataOnly="0" labelOnly="1" outline="0" axis="axisValues" fieldPosition="0"/>
    </format>
    <format dxfId="1968">
      <pivotArea type="all" dataOnly="0" outline="0" fieldPosition="0"/>
    </format>
    <format dxfId="1967">
      <pivotArea outline="0" collapsedLevelsAreSubtotals="1" fieldPosition="0"/>
    </format>
    <format dxfId="1966">
      <pivotArea dataOnly="0" labelOnly="1" outline="0" axis="axisValues" fieldPosition="0"/>
    </format>
    <format dxfId="1965">
      <pivotArea type="all" dataOnly="0" outline="0" fieldPosition="0"/>
    </format>
    <format dxfId="1964">
      <pivotArea outline="0" collapsedLevelsAreSubtotals="1" fieldPosition="0"/>
    </format>
    <format dxfId="1963">
      <pivotArea dataOnly="0" labelOnly="1" outline="0" axis="axisValues" fieldPosition="0"/>
    </format>
    <format dxfId="1962">
      <pivotArea type="all" dataOnly="0" outline="0" fieldPosition="0"/>
    </format>
    <format dxfId="1961">
      <pivotArea outline="0" collapsedLevelsAreSubtotals="1" fieldPosition="0"/>
    </format>
    <format dxfId="1960">
      <pivotArea dataOnly="0" labelOnly="1" outline="0" axis="axisValues" fieldPosition="0"/>
    </format>
    <format dxfId="1959">
      <pivotArea type="all" dataOnly="0" outline="0" fieldPosition="0"/>
    </format>
    <format dxfId="1958">
      <pivotArea outline="0" collapsedLevelsAreSubtotals="1" fieldPosition="0"/>
    </format>
    <format dxfId="195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76E0D9A5-6F35-44D7-8BA8-5208084B9FC2}" name="PivotTable69"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64:H165"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h="1" x="1"/>
        <item h="1" x="2"/>
        <item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2012">
      <pivotArea type="all" dataOnly="0" outline="0" fieldPosition="0"/>
    </format>
    <format dxfId="2011">
      <pivotArea type="all" dataOnly="0" outline="0" fieldPosition="0"/>
    </format>
    <format dxfId="2010">
      <pivotArea type="all" dataOnly="0" outline="0" fieldPosition="0"/>
    </format>
    <format dxfId="2009">
      <pivotArea type="all" dataOnly="0" outline="0" fieldPosition="0"/>
    </format>
    <format dxfId="2008">
      <pivotArea type="all" dataOnly="0" outline="0" fieldPosition="0"/>
    </format>
    <format dxfId="2007">
      <pivotArea type="all" dataOnly="0" outline="0" fieldPosition="0"/>
    </format>
    <format dxfId="2006">
      <pivotArea type="all" dataOnly="0" outline="0" fieldPosition="0"/>
    </format>
    <format dxfId="2005">
      <pivotArea type="all" dataOnly="0" outline="0" fieldPosition="0"/>
    </format>
    <format dxfId="2004">
      <pivotArea type="all" dataOnly="0" outline="0" fieldPosition="0"/>
    </format>
    <format dxfId="2003">
      <pivotArea type="all" dataOnly="0" outline="0" fieldPosition="0"/>
    </format>
    <format dxfId="2002">
      <pivotArea type="all" dataOnly="0" outline="0" fieldPosition="0"/>
    </format>
    <format dxfId="2001">
      <pivotArea outline="0" collapsedLevelsAreSubtotals="1" fieldPosition="0"/>
    </format>
    <format dxfId="2000">
      <pivotArea dataOnly="0" labelOnly="1" outline="0" axis="axisValues" fieldPosition="0"/>
    </format>
    <format dxfId="1999">
      <pivotArea type="all" dataOnly="0" outline="0" fieldPosition="0"/>
    </format>
    <format dxfId="1998">
      <pivotArea outline="0" collapsedLevelsAreSubtotals="1" fieldPosition="0"/>
    </format>
    <format dxfId="1997">
      <pivotArea dataOnly="0" labelOnly="1" outline="0" axis="axisValues" fieldPosition="0"/>
    </format>
    <format dxfId="1996">
      <pivotArea type="all" dataOnly="0" outline="0" fieldPosition="0"/>
    </format>
    <format dxfId="1995">
      <pivotArea outline="0" collapsedLevelsAreSubtotals="1" fieldPosition="0"/>
    </format>
    <format dxfId="1994">
      <pivotArea dataOnly="0" labelOnly="1" outline="0" axis="axisValues" fieldPosition="0"/>
    </format>
    <format dxfId="1993">
      <pivotArea type="all" dataOnly="0" outline="0" fieldPosition="0"/>
    </format>
    <format dxfId="1992">
      <pivotArea outline="0" collapsedLevelsAreSubtotals="1" fieldPosition="0"/>
    </format>
    <format dxfId="1991">
      <pivotArea dataOnly="0" labelOnly="1" outline="0" axis="axisValues" fieldPosition="0"/>
    </format>
    <format dxfId="1990">
      <pivotArea type="all" dataOnly="0" outline="0" fieldPosition="0"/>
    </format>
    <format dxfId="1989">
      <pivotArea outline="0" collapsedLevelsAreSubtotals="1" fieldPosition="0"/>
    </format>
    <format dxfId="1988">
      <pivotArea dataOnly="0" labelOnly="1" outline="0" axis="axisValues" fieldPosition="0"/>
    </format>
    <format dxfId="1987">
      <pivotArea type="all" dataOnly="0" outline="0" fieldPosition="0"/>
    </format>
    <format dxfId="1986">
      <pivotArea outline="0" collapsedLevelsAreSubtotals="1" fieldPosition="0"/>
    </format>
    <format dxfId="19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AC8E2FF9-960D-43D7-A493-C15FE76EBB02}" name="PivotTable4"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3:B24" firstHeaderRow="1" firstDataRow="1" firstDataCol="0" rowPageCount="3" colPageCount="1"/>
  <pivotFields count="57">
    <pivotField showAll="0"/>
    <pivotField axis="axisPage" multipleItemSelectionAllowed="1" showAll="0" defaultSubtotal="0">
      <items count="5">
        <item h="1" x="1"/>
        <item h="1" x="2"/>
        <item h="1" x="4"/>
        <item x="3"/>
        <item x="0"/>
      </items>
    </pivotField>
    <pivotField showAll="0"/>
    <pivotField numFmtId="14" showAll="0"/>
    <pivotField numFmtId="14" showAll="0"/>
    <pivotField showAll="0" defaultSubtotal="0"/>
    <pivotField showAll="0" defaultSubtotal="0"/>
    <pivotField axis="axisPage" multipleItemSelectionAllowed="1" showAll="0">
      <items count="5">
        <item h="1" x="0"/>
        <item h="1" x="1"/>
        <item x="2"/>
        <item h="1" x="3"/>
        <item t="default"/>
      </items>
    </pivotField>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9" hier="-1"/>
    <pageField fld="1" hier="-1"/>
    <pageField fld="7" hier="-1"/>
  </pageFields>
  <dataFields count="1">
    <dataField name="Sum of Net Dwellings" fld="40" baseField="0" baseItem="0"/>
  </dataFields>
  <formats count="30">
    <format dxfId="2042">
      <pivotArea type="all" dataOnly="0" outline="0" fieldPosition="0"/>
    </format>
    <format dxfId="2041">
      <pivotArea type="all" dataOnly="0" outline="0" fieldPosition="0"/>
    </format>
    <format dxfId="2040">
      <pivotArea type="all" dataOnly="0" outline="0" fieldPosition="0"/>
    </format>
    <format dxfId="2039">
      <pivotArea type="all" dataOnly="0" outline="0" fieldPosition="0"/>
    </format>
    <format dxfId="2038">
      <pivotArea type="all" dataOnly="0" outline="0" fieldPosition="0"/>
    </format>
    <format dxfId="2037">
      <pivotArea type="all" dataOnly="0" outline="0" fieldPosition="0"/>
    </format>
    <format dxfId="2036">
      <pivotArea type="all" dataOnly="0" outline="0" fieldPosition="0"/>
    </format>
    <format dxfId="2035">
      <pivotArea type="all" dataOnly="0" outline="0" fieldPosition="0"/>
    </format>
    <format dxfId="2034">
      <pivotArea type="all" dataOnly="0" outline="0" fieldPosition="0"/>
    </format>
    <format dxfId="2033">
      <pivotArea type="all" dataOnly="0" outline="0" fieldPosition="0"/>
    </format>
    <format dxfId="2032">
      <pivotArea type="all" dataOnly="0" outline="0" fieldPosition="0"/>
    </format>
    <format dxfId="2031">
      <pivotArea outline="0" collapsedLevelsAreSubtotals="1" fieldPosition="0"/>
    </format>
    <format dxfId="2030">
      <pivotArea dataOnly="0" labelOnly="1" outline="0" axis="axisValues" fieldPosition="0"/>
    </format>
    <format dxfId="2029">
      <pivotArea type="all" dataOnly="0" outline="0" fieldPosition="0"/>
    </format>
    <format dxfId="2028">
      <pivotArea outline="0" collapsedLevelsAreSubtotals="1" fieldPosition="0"/>
    </format>
    <format dxfId="2027">
      <pivotArea dataOnly="0" labelOnly="1" outline="0" axis="axisValues" fieldPosition="0"/>
    </format>
    <format dxfId="2026">
      <pivotArea type="all" dataOnly="0" outline="0" fieldPosition="0"/>
    </format>
    <format dxfId="2025">
      <pivotArea outline="0" collapsedLevelsAreSubtotals="1" fieldPosition="0"/>
    </format>
    <format dxfId="2024">
      <pivotArea dataOnly="0" labelOnly="1" outline="0" axis="axisValues" fieldPosition="0"/>
    </format>
    <format dxfId="2023">
      <pivotArea type="all" dataOnly="0" outline="0" fieldPosition="0"/>
    </format>
    <format dxfId="2022">
      <pivotArea outline="0" collapsedLevelsAreSubtotals="1" fieldPosition="0"/>
    </format>
    <format dxfId="2021">
      <pivotArea dataOnly="0" labelOnly="1" outline="0" axis="axisValues" fieldPosition="0"/>
    </format>
    <format dxfId="2020">
      <pivotArea outline="0" collapsedLevelsAreSubtotals="1" fieldPosition="0"/>
    </format>
    <format dxfId="2019">
      <pivotArea outline="0" collapsedLevelsAreSubtotals="1" fieldPosition="0"/>
    </format>
    <format dxfId="2018">
      <pivotArea type="all" dataOnly="0" outline="0" fieldPosition="0"/>
    </format>
    <format dxfId="2017">
      <pivotArea outline="0" collapsedLevelsAreSubtotals="1" fieldPosition="0"/>
    </format>
    <format dxfId="2016">
      <pivotArea dataOnly="0" labelOnly="1" outline="0" axis="axisValues" fieldPosition="0"/>
    </format>
    <format dxfId="2015">
      <pivotArea type="all" dataOnly="0" outline="0" fieldPosition="0"/>
    </format>
    <format dxfId="2014">
      <pivotArea outline="0" collapsedLevelsAreSubtotals="1" fieldPosition="0"/>
    </format>
    <format dxfId="20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2DBEB8B7-B0FC-487D-B346-1D96B3392107}" name="PivotTable76"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73:H17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2070">
      <pivotArea type="all" dataOnly="0" outline="0" fieldPosition="0"/>
    </format>
    <format dxfId="2069">
      <pivotArea type="all" dataOnly="0" outline="0" fieldPosition="0"/>
    </format>
    <format dxfId="2068">
      <pivotArea type="all" dataOnly="0" outline="0" fieldPosition="0"/>
    </format>
    <format dxfId="2067">
      <pivotArea type="all" dataOnly="0" outline="0" fieldPosition="0"/>
    </format>
    <format dxfId="2066">
      <pivotArea type="all" dataOnly="0" outline="0" fieldPosition="0"/>
    </format>
    <format dxfId="2065">
      <pivotArea type="all" dataOnly="0" outline="0" fieldPosition="0"/>
    </format>
    <format dxfId="2064">
      <pivotArea type="all" dataOnly="0" outline="0" fieldPosition="0"/>
    </format>
    <format dxfId="2063">
      <pivotArea type="all" dataOnly="0" outline="0" fieldPosition="0"/>
    </format>
    <format dxfId="2062">
      <pivotArea type="all" dataOnly="0" outline="0" fieldPosition="0"/>
    </format>
    <format dxfId="2061">
      <pivotArea type="all" dataOnly="0" outline="0" fieldPosition="0"/>
    </format>
    <format dxfId="2060">
      <pivotArea type="all" dataOnly="0" outline="0" fieldPosition="0"/>
    </format>
    <format dxfId="2059">
      <pivotArea outline="0" collapsedLevelsAreSubtotals="1" fieldPosition="0"/>
    </format>
    <format dxfId="2058">
      <pivotArea dataOnly="0" labelOnly="1" outline="0" axis="axisValues" fieldPosition="0"/>
    </format>
    <format dxfId="2057">
      <pivotArea type="all" dataOnly="0" outline="0" fieldPosition="0"/>
    </format>
    <format dxfId="2056">
      <pivotArea outline="0" collapsedLevelsAreSubtotals="1" fieldPosition="0"/>
    </format>
    <format dxfId="2055">
      <pivotArea dataOnly="0" labelOnly="1" outline="0" axis="axisValues" fieldPosition="0"/>
    </format>
    <format dxfId="2054">
      <pivotArea type="all" dataOnly="0" outline="0" fieldPosition="0"/>
    </format>
    <format dxfId="2053">
      <pivotArea outline="0" collapsedLevelsAreSubtotals="1" fieldPosition="0"/>
    </format>
    <format dxfId="2052">
      <pivotArea dataOnly="0" labelOnly="1" outline="0" axis="axisValues" fieldPosition="0"/>
    </format>
    <format dxfId="2051">
      <pivotArea type="all" dataOnly="0" outline="0" fieldPosition="0"/>
    </format>
    <format dxfId="2050">
      <pivotArea outline="0" collapsedLevelsAreSubtotals="1" fieldPosition="0"/>
    </format>
    <format dxfId="2049">
      <pivotArea dataOnly="0" labelOnly="1" outline="0" axis="axisValues" fieldPosition="0"/>
    </format>
    <format dxfId="2048">
      <pivotArea type="all" dataOnly="0" outline="0" fieldPosition="0"/>
    </format>
    <format dxfId="2047">
      <pivotArea outline="0" collapsedLevelsAreSubtotals="1" fieldPosition="0"/>
    </format>
    <format dxfId="2046">
      <pivotArea dataOnly="0" labelOnly="1" outline="0" axis="axisValues" fieldPosition="0"/>
    </format>
    <format dxfId="2045">
      <pivotArea type="all" dataOnly="0" outline="0" fieldPosition="0"/>
    </format>
    <format dxfId="2044">
      <pivotArea outline="0" collapsedLevelsAreSubtotals="1" fieldPosition="0"/>
    </format>
    <format dxfId="20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FAE7FAE7-0550-4CF4-9CA2-7A3981DF34FD}" name="PivotTable31" cacheId="6"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SELECT SITES">
  <location ref="F6:G15" firstHeaderRow="1" firstDataRow="1" firstDataCol="1" rowPageCount="1" colPageCount="1"/>
  <pivotFields count="57">
    <pivotField showAll="0"/>
    <pivotField multipleItemSelectionAllowed="1" showAll="0" defaultSubtotal="0"/>
    <pivotField multipleItemSelectionAllowed="1" showAll="0"/>
    <pivotField numFmtId="14" showAll="0"/>
    <pivotField numFmtId="14" showAll="0"/>
    <pivotField showAll="0" defaultSubtotal="0"/>
    <pivotField showAll="0" defaultSubtotal="0"/>
    <pivotField axis="axisPage" multipleItemSelectionAllowed="1" showAll="0">
      <items count="6">
        <item h="1" x="0"/>
        <item h="1" x="1"/>
        <item h="1" x="2"/>
        <item x="4"/>
        <item h="1" x="3"/>
        <item t="default"/>
      </items>
    </pivotField>
    <pivotField showAll="0"/>
    <pivotField axis="axisRow" showAll="0" sortType="ascending">
      <items count="11">
        <item x="4"/>
        <item x="5"/>
        <item x="3"/>
        <item x="8"/>
        <item x="1"/>
        <item x="6"/>
        <item x="9"/>
        <item x="2"/>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Fields count="1">
    <field x="9"/>
  </rowFields>
  <rowItems count="9">
    <i>
      <x/>
    </i>
    <i>
      <x v="1"/>
    </i>
    <i>
      <x v="2"/>
    </i>
    <i>
      <x v="3"/>
    </i>
    <i>
      <x v="5"/>
    </i>
    <i>
      <x v="6"/>
    </i>
    <i>
      <x v="7"/>
    </i>
    <i>
      <x v="8"/>
    </i>
    <i t="grand">
      <x/>
    </i>
  </rowItems>
  <colItems count="1">
    <i/>
  </colItems>
  <pageFields count="1">
    <pageField fld="7" hier="-1"/>
  </pageFields>
  <dataFields count="1">
    <dataField name="Sum of Net Dwellings" fld="40" baseField="0" baseItem="0"/>
  </dataFields>
  <formats count="75">
    <format dxfId="2145">
      <pivotArea type="all" dataOnly="0" outline="0" fieldPosition="0"/>
    </format>
    <format dxfId="2144">
      <pivotArea type="all" dataOnly="0" outline="0" fieldPosition="0"/>
    </format>
    <format dxfId="2143">
      <pivotArea type="all" dataOnly="0" outline="0" fieldPosition="0"/>
    </format>
    <format dxfId="2142">
      <pivotArea type="all" dataOnly="0" outline="0" fieldPosition="0"/>
    </format>
    <format dxfId="2141">
      <pivotArea type="all" dataOnly="0" outline="0" fieldPosition="0"/>
    </format>
    <format dxfId="2140">
      <pivotArea type="all" dataOnly="0" outline="0" fieldPosition="0"/>
    </format>
    <format dxfId="2139">
      <pivotArea type="all" dataOnly="0" outline="0" fieldPosition="0"/>
    </format>
    <format dxfId="2138">
      <pivotArea type="all" dataOnly="0" outline="0" fieldPosition="0"/>
    </format>
    <format dxfId="2137">
      <pivotArea type="all" dataOnly="0" outline="0" fieldPosition="0"/>
    </format>
    <format dxfId="2136">
      <pivotArea type="all" dataOnly="0" outline="0" fieldPosition="0"/>
    </format>
    <format dxfId="2135">
      <pivotArea type="all" dataOnly="0" outline="0" fieldPosition="0"/>
    </format>
    <format dxfId="2134">
      <pivotArea outline="0" collapsedLevelsAreSubtotals="1" fieldPosition="0"/>
    </format>
    <format dxfId="2133">
      <pivotArea dataOnly="0" labelOnly="1" outline="0" axis="axisValues" fieldPosition="0"/>
    </format>
    <format dxfId="2132">
      <pivotArea type="all" dataOnly="0" outline="0" fieldPosition="0"/>
    </format>
    <format dxfId="2131">
      <pivotArea outline="0" collapsedLevelsAreSubtotals="1" fieldPosition="0"/>
    </format>
    <format dxfId="2130">
      <pivotArea field="9" type="button" dataOnly="0" labelOnly="1" outline="0" axis="axisRow" fieldPosition="0"/>
    </format>
    <format dxfId="2129">
      <pivotArea dataOnly="0" labelOnly="1" fieldPosition="0">
        <references count="1">
          <reference field="9" count="1">
            <x v="0"/>
          </reference>
        </references>
      </pivotArea>
    </format>
    <format dxfId="2128">
      <pivotArea dataOnly="0" labelOnly="1" grandRow="1" outline="0" fieldPosition="0"/>
    </format>
    <format dxfId="2127">
      <pivotArea dataOnly="0" labelOnly="1" outline="0" axis="axisValues" fieldPosition="0"/>
    </format>
    <format dxfId="2126">
      <pivotArea type="all" dataOnly="0" outline="0" fieldPosition="0"/>
    </format>
    <format dxfId="2125">
      <pivotArea outline="0" collapsedLevelsAreSubtotals="1" fieldPosition="0"/>
    </format>
    <format dxfId="2124">
      <pivotArea field="9" type="button" dataOnly="0" labelOnly="1" outline="0" axis="axisRow" fieldPosition="0"/>
    </format>
    <format dxfId="2123">
      <pivotArea dataOnly="0" labelOnly="1" grandRow="1" outline="0" fieldPosition="0"/>
    </format>
    <format dxfId="2122">
      <pivotArea dataOnly="0" labelOnly="1" outline="0" axis="axisValues" fieldPosition="0"/>
    </format>
    <format dxfId="2121">
      <pivotArea type="all" dataOnly="0" outline="0" fieldPosition="0"/>
    </format>
    <format dxfId="2120">
      <pivotArea field="9" type="button" dataOnly="0" labelOnly="1" outline="0" axis="axisRow" fieldPosition="0"/>
    </format>
    <format dxfId="2119">
      <pivotArea field="9" type="button" dataOnly="0" labelOnly="1" outline="0" axis="axisRow" fieldPosition="0"/>
    </format>
    <format dxfId="2118">
      <pivotArea type="all" dataOnly="0" outline="0" fieldPosition="0"/>
    </format>
    <format dxfId="2117">
      <pivotArea outline="0" collapsedLevelsAreSubtotals="1" fieldPosition="0"/>
    </format>
    <format dxfId="2116">
      <pivotArea field="9" type="button" dataOnly="0" labelOnly="1" outline="0" axis="axisRow" fieldPosition="0"/>
    </format>
    <format dxfId="2115">
      <pivotArea dataOnly="0" labelOnly="1" fieldPosition="0">
        <references count="1">
          <reference field="9" count="1">
            <x v="0"/>
          </reference>
        </references>
      </pivotArea>
    </format>
    <format dxfId="2114">
      <pivotArea dataOnly="0" labelOnly="1" grandRow="1" outline="0" fieldPosition="0"/>
    </format>
    <format dxfId="2113">
      <pivotArea dataOnly="0" labelOnly="1" outline="0" axis="axisValues" fieldPosition="0"/>
    </format>
    <format dxfId="2112">
      <pivotArea type="all" dataOnly="0" outline="0" fieldPosition="0"/>
    </format>
    <format dxfId="2111">
      <pivotArea outline="0" collapsedLevelsAreSubtotals="1" fieldPosition="0"/>
    </format>
    <format dxfId="2110">
      <pivotArea field="9" type="button" dataOnly="0" labelOnly="1" outline="0" axis="axisRow" fieldPosition="0"/>
    </format>
    <format dxfId="2109">
      <pivotArea dataOnly="0" labelOnly="1" fieldPosition="0">
        <references count="1">
          <reference field="9" count="8">
            <x v="0"/>
            <x v="1"/>
            <x v="2"/>
            <x v="3"/>
            <x v="5"/>
            <x v="6"/>
            <x v="7"/>
            <x v="8"/>
          </reference>
        </references>
      </pivotArea>
    </format>
    <format dxfId="2108">
      <pivotArea dataOnly="0" labelOnly="1" grandRow="1" outline="0" fieldPosition="0"/>
    </format>
    <format dxfId="2107">
      <pivotArea dataOnly="0" labelOnly="1" outline="0" axis="axisValues" fieldPosition="0"/>
    </format>
    <format dxfId="2106">
      <pivotArea type="all" dataOnly="0" outline="0" fieldPosition="0"/>
    </format>
    <format dxfId="2105">
      <pivotArea outline="0" collapsedLevelsAreSubtotals="1" fieldPosition="0"/>
    </format>
    <format dxfId="2104">
      <pivotArea field="9" type="button" dataOnly="0" labelOnly="1" outline="0" axis="axisRow" fieldPosition="0"/>
    </format>
    <format dxfId="2103">
      <pivotArea dataOnly="0" labelOnly="1" fieldPosition="0">
        <references count="1">
          <reference field="9" count="8">
            <x v="0"/>
            <x v="1"/>
            <x v="2"/>
            <x v="3"/>
            <x v="5"/>
            <x v="6"/>
            <x v="7"/>
            <x v="8"/>
          </reference>
        </references>
      </pivotArea>
    </format>
    <format dxfId="2102">
      <pivotArea dataOnly="0" labelOnly="1" grandRow="1" outline="0" fieldPosition="0"/>
    </format>
    <format dxfId="2101">
      <pivotArea dataOnly="0" labelOnly="1" outline="0" axis="axisValues" fieldPosition="0"/>
    </format>
    <format dxfId="2100">
      <pivotArea type="all" dataOnly="0" outline="0" fieldPosition="0"/>
    </format>
    <format dxfId="2099">
      <pivotArea outline="0" collapsedLevelsAreSubtotals="1" fieldPosition="0"/>
    </format>
    <format dxfId="2098">
      <pivotArea field="9" type="button" dataOnly="0" labelOnly="1" outline="0" axis="axisRow" fieldPosition="0"/>
    </format>
    <format dxfId="2097">
      <pivotArea dataOnly="0" labelOnly="1" fieldPosition="0">
        <references count="1">
          <reference field="9" count="8">
            <x v="0"/>
            <x v="1"/>
            <x v="2"/>
            <x v="3"/>
            <x v="5"/>
            <x v="6"/>
            <x v="7"/>
            <x v="8"/>
          </reference>
        </references>
      </pivotArea>
    </format>
    <format dxfId="2096">
      <pivotArea dataOnly="0" labelOnly="1" grandRow="1" outline="0" fieldPosition="0"/>
    </format>
    <format dxfId="2095">
      <pivotArea dataOnly="0" labelOnly="1" outline="0" axis="axisValues" fieldPosition="0"/>
    </format>
    <format dxfId="2094">
      <pivotArea type="all" dataOnly="0" outline="0" fieldPosition="0"/>
    </format>
    <format dxfId="2093">
      <pivotArea outline="0" collapsedLevelsAreSubtotals="1" fieldPosition="0"/>
    </format>
    <format dxfId="2092">
      <pivotArea field="9" type="button" dataOnly="0" labelOnly="1" outline="0" axis="axisRow" fieldPosition="0"/>
    </format>
    <format dxfId="2091">
      <pivotArea dataOnly="0" labelOnly="1" fieldPosition="0">
        <references count="1">
          <reference field="9" count="8">
            <x v="0"/>
            <x v="1"/>
            <x v="2"/>
            <x v="3"/>
            <x v="5"/>
            <x v="6"/>
            <x v="7"/>
            <x v="8"/>
          </reference>
        </references>
      </pivotArea>
    </format>
    <format dxfId="2090">
      <pivotArea dataOnly="0" labelOnly="1" grandRow="1" outline="0" fieldPosition="0"/>
    </format>
    <format dxfId="2089">
      <pivotArea dataOnly="0" labelOnly="1" outline="0" axis="axisValues" fieldPosition="0"/>
    </format>
    <format dxfId="2088">
      <pivotArea type="all" dataOnly="0" outline="0" fieldPosition="0"/>
    </format>
    <format dxfId="2087">
      <pivotArea outline="0" collapsedLevelsAreSubtotals="1" fieldPosition="0"/>
    </format>
    <format dxfId="2086">
      <pivotArea field="9" type="button" dataOnly="0" labelOnly="1" outline="0" axis="axisRow" fieldPosition="0"/>
    </format>
    <format dxfId="2085">
      <pivotArea dataOnly="0" labelOnly="1" fieldPosition="0">
        <references count="1">
          <reference field="9" count="8">
            <x v="0"/>
            <x v="1"/>
            <x v="2"/>
            <x v="3"/>
            <x v="5"/>
            <x v="6"/>
            <x v="7"/>
            <x v="8"/>
          </reference>
        </references>
      </pivotArea>
    </format>
    <format dxfId="2084">
      <pivotArea dataOnly="0" labelOnly="1" grandRow="1" outline="0" fieldPosition="0"/>
    </format>
    <format dxfId="2083">
      <pivotArea dataOnly="0" labelOnly="1" outline="0" axis="axisValues" fieldPosition="0"/>
    </format>
    <format dxfId="2082">
      <pivotArea type="all" dataOnly="0" outline="0" fieldPosition="0"/>
    </format>
    <format dxfId="2081">
      <pivotArea outline="0" collapsedLevelsAreSubtotals="1" fieldPosition="0"/>
    </format>
    <format dxfId="2080">
      <pivotArea field="9" type="button" dataOnly="0" labelOnly="1" outline="0" axis="axisRow" fieldPosition="0"/>
    </format>
    <format dxfId="2079">
      <pivotArea dataOnly="0" labelOnly="1" fieldPosition="0">
        <references count="1">
          <reference field="9" count="8">
            <x v="0"/>
            <x v="1"/>
            <x v="2"/>
            <x v="3"/>
            <x v="5"/>
            <x v="6"/>
            <x v="7"/>
            <x v="8"/>
          </reference>
        </references>
      </pivotArea>
    </format>
    <format dxfId="2078">
      <pivotArea dataOnly="0" labelOnly="1" grandRow="1" outline="0" fieldPosition="0"/>
    </format>
    <format dxfId="2077">
      <pivotArea dataOnly="0" labelOnly="1" outline="0" axis="axisValues" fieldPosition="0"/>
    </format>
    <format dxfId="2076">
      <pivotArea type="all" dataOnly="0" outline="0" fieldPosition="0"/>
    </format>
    <format dxfId="2075">
      <pivotArea outline="0" collapsedLevelsAreSubtotals="1" fieldPosition="0"/>
    </format>
    <format dxfId="2074">
      <pivotArea field="9" type="button" dataOnly="0" labelOnly="1" outline="0" axis="axisRow" fieldPosition="0"/>
    </format>
    <format dxfId="2073">
      <pivotArea dataOnly="0" labelOnly="1" fieldPosition="0">
        <references count="1">
          <reference field="9" count="8">
            <x v="0"/>
            <x v="1"/>
            <x v="2"/>
            <x v="3"/>
            <x v="5"/>
            <x v="6"/>
            <x v="7"/>
            <x v="8"/>
          </reference>
        </references>
      </pivotArea>
    </format>
    <format dxfId="2072">
      <pivotArea dataOnly="0" labelOnly="1" grandRow="1" outline="0" fieldPosition="0"/>
    </format>
    <format dxfId="207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2183BF3F-313A-456E-BD27-247CB2EC3BC1}" name="PivotTable8"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58:C261"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7">
        <item x="0"/>
        <item h="1" x="1"/>
        <item h="1" x="2"/>
        <item h="1" m="1" x="6"/>
        <item h="1" m="1" x="4"/>
        <item h="1" m="1" x="5"/>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axis="axisRow" showAll="0">
      <items count="3">
        <item x="1"/>
        <item x="0"/>
        <item t="default"/>
      </items>
    </pivotField>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pivotFields>
  <rowFields count="1">
    <field x="41"/>
  </rowFields>
  <rowItems count="3">
    <i>
      <x/>
    </i>
    <i>
      <x v="1"/>
    </i>
    <i t="grand">
      <x/>
    </i>
  </rowItems>
  <colItems count="1">
    <i/>
  </colItems>
  <pageFields count="1">
    <pageField fld="7" hier="-1"/>
  </pageFields>
  <dataFields count="1">
    <dataField name="Sum of Net Dwellings" fld="40" baseField="0" baseItem="0"/>
  </dataFields>
  <formats count="26">
    <format dxfId="2171">
      <pivotArea type="all" dataOnly="0" outline="0" fieldPosition="0"/>
    </format>
    <format dxfId="2170">
      <pivotArea type="all" dataOnly="0" outline="0" fieldPosition="0"/>
    </format>
    <format dxfId="2169">
      <pivotArea type="all" dataOnly="0" outline="0" fieldPosition="0"/>
    </format>
    <format dxfId="2168">
      <pivotArea type="all" dataOnly="0" outline="0" fieldPosition="0"/>
    </format>
    <format dxfId="2167">
      <pivotArea type="all" dataOnly="0" outline="0" fieldPosition="0"/>
    </format>
    <format dxfId="2166">
      <pivotArea type="all" dataOnly="0" outline="0" fieldPosition="0"/>
    </format>
    <format dxfId="2165">
      <pivotArea type="all" dataOnly="0" outline="0" fieldPosition="0"/>
    </format>
    <format dxfId="2164">
      <pivotArea type="all" dataOnly="0" outline="0" fieldPosition="0"/>
    </format>
    <format dxfId="2163">
      <pivotArea type="all" dataOnly="0" outline="0" fieldPosition="0"/>
    </format>
    <format dxfId="2162">
      <pivotArea type="all" dataOnly="0" outline="0" fieldPosition="0"/>
    </format>
    <format dxfId="2161">
      <pivotArea type="all" dataOnly="0" outline="0" fieldPosition="0"/>
    </format>
    <format dxfId="2160">
      <pivotArea outline="0" collapsedLevelsAreSubtotals="1" fieldPosition="0"/>
    </format>
    <format dxfId="2159">
      <pivotArea dataOnly="0" labelOnly="1" grandRow="1" outline="0" fieldPosition="0"/>
    </format>
    <format dxfId="2158">
      <pivotArea dataOnly="0" labelOnly="1" outline="0" axis="axisValues" fieldPosition="0"/>
    </format>
    <format dxfId="2157">
      <pivotArea type="all" dataOnly="0" outline="0" fieldPosition="0"/>
    </format>
    <format dxfId="2156">
      <pivotArea outline="0" collapsedLevelsAreSubtotals="1" fieldPosition="0"/>
    </format>
    <format dxfId="2155">
      <pivotArea field="41" type="button" dataOnly="0" labelOnly="1" outline="0" axis="axisRow" fieldPosition="0"/>
    </format>
    <format dxfId="2154">
      <pivotArea dataOnly="0" labelOnly="1" fieldPosition="0">
        <references count="1">
          <reference field="41" count="0"/>
        </references>
      </pivotArea>
    </format>
    <format dxfId="2153">
      <pivotArea dataOnly="0" labelOnly="1" grandRow="1" outline="0" fieldPosition="0"/>
    </format>
    <format dxfId="2152">
      <pivotArea dataOnly="0" labelOnly="1" outline="0" axis="axisValues" fieldPosition="0"/>
    </format>
    <format dxfId="2151">
      <pivotArea type="all" dataOnly="0" outline="0" fieldPosition="0"/>
    </format>
    <format dxfId="2150">
      <pivotArea outline="0" collapsedLevelsAreSubtotals="1" fieldPosition="0"/>
    </format>
    <format dxfId="2149">
      <pivotArea field="41" type="button" dataOnly="0" labelOnly="1" outline="0" axis="axisRow" fieldPosition="0"/>
    </format>
    <format dxfId="2148">
      <pivotArea dataOnly="0" labelOnly="1" fieldPosition="0">
        <references count="1">
          <reference field="41" count="0"/>
        </references>
      </pivotArea>
    </format>
    <format dxfId="2147">
      <pivotArea dataOnly="0" labelOnly="1" grandRow="1" outline="0" fieldPosition="0"/>
    </format>
    <format dxfId="214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F72E7AB6-94F2-4BC3-9F5A-9ED234AD803A}" name="PivotTable41"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107:H108" firstHeaderRow="1" firstDataRow="1" firstDataCol="0" rowPageCount="2" colPageCount="1"/>
  <pivotFields count="57">
    <pivotField showAll="0" defaultSubtotal="0"/>
    <pivotField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axis="axisPage" multipleItemSelectionAllowed="1" showAll="0" defaultSubtotal="0">
      <items count="6">
        <item x="1"/>
        <item h="1" x="2"/>
        <item h="1" x="0"/>
        <item x="3"/>
        <item h="1" x="4"/>
        <item h="1" x="5"/>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8" hier="-1"/>
  </pageFields>
  <dataFields count="1">
    <dataField name="Sum of Net Dwellings" fld="40" baseField="0" baseItem="0"/>
  </dataFields>
  <formats count="28">
    <format dxfId="2199">
      <pivotArea type="all" dataOnly="0" outline="0" fieldPosition="0"/>
    </format>
    <format dxfId="2198">
      <pivotArea type="all" dataOnly="0" outline="0" fieldPosition="0"/>
    </format>
    <format dxfId="2197">
      <pivotArea type="all" dataOnly="0" outline="0" fieldPosition="0"/>
    </format>
    <format dxfId="2196">
      <pivotArea type="all" dataOnly="0" outline="0" fieldPosition="0"/>
    </format>
    <format dxfId="2195">
      <pivotArea type="all" dataOnly="0" outline="0" fieldPosition="0"/>
    </format>
    <format dxfId="2194">
      <pivotArea type="all" dataOnly="0" outline="0" fieldPosition="0"/>
    </format>
    <format dxfId="2193">
      <pivotArea type="all" dataOnly="0" outline="0" fieldPosition="0"/>
    </format>
    <format dxfId="2192">
      <pivotArea type="all" dataOnly="0" outline="0" fieldPosition="0"/>
    </format>
    <format dxfId="2191">
      <pivotArea type="all" dataOnly="0" outline="0" fieldPosition="0"/>
    </format>
    <format dxfId="2190">
      <pivotArea type="all" dataOnly="0" outline="0" fieldPosition="0"/>
    </format>
    <format dxfId="2189">
      <pivotArea type="all" dataOnly="0" outline="0" fieldPosition="0"/>
    </format>
    <format dxfId="2188">
      <pivotArea outline="0" collapsedLevelsAreSubtotals="1" fieldPosition="0"/>
    </format>
    <format dxfId="2187">
      <pivotArea dataOnly="0" labelOnly="1" outline="0" axis="axisValues" fieldPosition="0"/>
    </format>
    <format dxfId="2186">
      <pivotArea type="all" dataOnly="0" outline="0" fieldPosition="0"/>
    </format>
    <format dxfId="2185">
      <pivotArea outline="0" collapsedLevelsAreSubtotals="1" fieldPosition="0"/>
    </format>
    <format dxfId="2184">
      <pivotArea dataOnly="0" labelOnly="1" outline="0" axis="axisValues" fieldPosition="0"/>
    </format>
    <format dxfId="2183">
      <pivotArea type="all" dataOnly="0" outline="0" fieldPosition="0"/>
    </format>
    <format dxfId="2182">
      <pivotArea outline="0" collapsedLevelsAreSubtotals="1" fieldPosition="0"/>
    </format>
    <format dxfId="2181">
      <pivotArea dataOnly="0" labelOnly="1" outline="0" axis="axisValues" fieldPosition="0"/>
    </format>
    <format dxfId="2180">
      <pivotArea type="all" dataOnly="0" outline="0" fieldPosition="0"/>
    </format>
    <format dxfId="2179">
      <pivotArea outline="0" collapsedLevelsAreSubtotals="1" fieldPosition="0"/>
    </format>
    <format dxfId="2178">
      <pivotArea dataOnly="0" labelOnly="1" outline="0" axis="axisValues" fieldPosition="0"/>
    </format>
    <format dxfId="2177">
      <pivotArea type="all" dataOnly="0" outline="0" fieldPosition="0"/>
    </format>
    <format dxfId="2176">
      <pivotArea outline="0" collapsedLevelsAreSubtotals="1" fieldPosition="0"/>
    </format>
    <format dxfId="2175">
      <pivotArea dataOnly="0" labelOnly="1" outline="0" axis="axisValues" fieldPosition="0"/>
    </format>
    <format dxfId="2174">
      <pivotArea type="all" dataOnly="0" outline="0" fieldPosition="0"/>
    </format>
    <format dxfId="2173">
      <pivotArea outline="0" collapsedLevelsAreSubtotals="1" fieldPosition="0"/>
    </format>
    <format dxfId="217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426DAA58-06F1-4046-8F36-5A39D904EA06}" name="PivotTable7"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9:B50" firstHeaderRow="1" firstDataRow="1" firstDataCol="0" rowPageCount="3" colPageCount="1"/>
  <pivotFields count="57">
    <pivotField showAll="0"/>
    <pivotField axis="axisPage" multipleItemSelectionAllowed="1" showAll="0" defaultSubtotal="0">
      <items count="5">
        <item x="1"/>
        <item x="2"/>
        <item x="4"/>
        <item x="3"/>
        <item x="0"/>
      </items>
    </pivotField>
    <pivotField axis="axisPage" multipleItemSelectionAllowed="1" showAll="0">
      <items count="3">
        <item x="1"/>
        <item h="1" x="0"/>
        <item t="default"/>
      </items>
    </pivotField>
    <pivotField numFmtId="14" showAll="0"/>
    <pivotField numFmtId="14" showAll="0"/>
    <pivotField showAll="0" defaultSubtotal="0"/>
    <pivotField showAll="0" defaultSubtotal="0"/>
    <pivotField axis="axisPage" multipleItemSelectionAllowed="1" showAll="0">
      <items count="5">
        <item h="1" x="0"/>
        <item h="1"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0" baseField="0" baseItem="0"/>
  </dataFields>
  <formats count="28">
    <format dxfId="2227">
      <pivotArea type="all" dataOnly="0" outline="0" fieldPosition="0"/>
    </format>
    <format dxfId="2226">
      <pivotArea type="all" dataOnly="0" outline="0" fieldPosition="0"/>
    </format>
    <format dxfId="2225">
      <pivotArea type="all" dataOnly="0" outline="0" fieldPosition="0"/>
    </format>
    <format dxfId="2224">
      <pivotArea type="all" dataOnly="0" outline="0" fieldPosition="0"/>
    </format>
    <format dxfId="2223">
      <pivotArea type="all" dataOnly="0" outline="0" fieldPosition="0"/>
    </format>
    <format dxfId="2222">
      <pivotArea type="all" dataOnly="0" outline="0" fieldPosition="0"/>
    </format>
    <format dxfId="2221">
      <pivotArea type="all" dataOnly="0" outline="0" fieldPosition="0"/>
    </format>
    <format dxfId="2220">
      <pivotArea type="all" dataOnly="0" outline="0" fieldPosition="0"/>
    </format>
    <format dxfId="2219">
      <pivotArea type="all" dataOnly="0" outline="0" fieldPosition="0"/>
    </format>
    <format dxfId="2218">
      <pivotArea type="all" dataOnly="0" outline="0" fieldPosition="0"/>
    </format>
    <format dxfId="2217">
      <pivotArea type="all" dataOnly="0" outline="0" fieldPosition="0"/>
    </format>
    <format dxfId="2216">
      <pivotArea outline="0" collapsedLevelsAreSubtotals="1" fieldPosition="0"/>
    </format>
    <format dxfId="2215">
      <pivotArea dataOnly="0" labelOnly="1" outline="0" axis="axisValues" fieldPosition="0"/>
    </format>
    <format dxfId="2214">
      <pivotArea type="all" dataOnly="0" outline="0" fieldPosition="0"/>
    </format>
    <format dxfId="2213">
      <pivotArea outline="0" collapsedLevelsAreSubtotals="1" fieldPosition="0"/>
    </format>
    <format dxfId="2212">
      <pivotArea dataOnly="0" labelOnly="1" outline="0" axis="axisValues" fieldPosition="0"/>
    </format>
    <format dxfId="2211">
      <pivotArea type="all" dataOnly="0" outline="0" fieldPosition="0"/>
    </format>
    <format dxfId="2210">
      <pivotArea outline="0" collapsedLevelsAreSubtotals="1" fieldPosition="0"/>
    </format>
    <format dxfId="2209">
      <pivotArea dataOnly="0" labelOnly="1" outline="0" axis="axisValues" fieldPosition="0"/>
    </format>
    <format dxfId="2208">
      <pivotArea type="all" dataOnly="0" outline="0" fieldPosition="0"/>
    </format>
    <format dxfId="2207">
      <pivotArea outline="0" collapsedLevelsAreSubtotals="1" fieldPosition="0"/>
    </format>
    <format dxfId="2206">
      <pivotArea dataOnly="0" labelOnly="1" outline="0" axis="axisValues" fieldPosition="0"/>
    </format>
    <format dxfId="2205">
      <pivotArea type="all" dataOnly="0" outline="0" fieldPosition="0"/>
    </format>
    <format dxfId="2204">
      <pivotArea outline="0" collapsedLevelsAreSubtotals="1" fieldPosition="0"/>
    </format>
    <format dxfId="2203">
      <pivotArea dataOnly="0" labelOnly="1" outline="0" axis="axisValues" fieldPosition="0"/>
    </format>
    <format dxfId="2202">
      <pivotArea type="all" dataOnly="0" outline="0" fieldPosition="0"/>
    </format>
    <format dxfId="2201">
      <pivotArea outline="0" collapsedLevelsAreSubtotals="1" fieldPosition="0"/>
    </format>
    <format dxfId="22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8ED8925C-0DB4-43AD-B008-1B6D46CAAE05}" name="PivotTable64"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92:E19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x="1"/>
        <item h="1" x="2"/>
        <item h="1" x="0"/>
        <item h="1" m="1" x="6"/>
        <item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2255">
      <pivotArea type="all" dataOnly="0" outline="0" fieldPosition="0"/>
    </format>
    <format dxfId="2254">
      <pivotArea type="all" dataOnly="0" outline="0" fieldPosition="0"/>
    </format>
    <format dxfId="2253">
      <pivotArea type="all" dataOnly="0" outline="0" fieldPosition="0"/>
    </format>
    <format dxfId="2252">
      <pivotArea type="all" dataOnly="0" outline="0" fieldPosition="0"/>
    </format>
    <format dxfId="2251">
      <pivotArea type="all" dataOnly="0" outline="0" fieldPosition="0"/>
    </format>
    <format dxfId="2250">
      <pivotArea type="all" dataOnly="0" outline="0" fieldPosition="0"/>
    </format>
    <format dxfId="2249">
      <pivotArea type="all" dataOnly="0" outline="0" fieldPosition="0"/>
    </format>
    <format dxfId="2248">
      <pivotArea type="all" dataOnly="0" outline="0" fieldPosition="0"/>
    </format>
    <format dxfId="2247">
      <pivotArea type="all" dataOnly="0" outline="0" fieldPosition="0"/>
    </format>
    <format dxfId="2246">
      <pivotArea type="all" dataOnly="0" outline="0" fieldPosition="0"/>
    </format>
    <format dxfId="2245">
      <pivotArea type="all" dataOnly="0" outline="0" fieldPosition="0"/>
    </format>
    <format dxfId="2244">
      <pivotArea outline="0" collapsedLevelsAreSubtotals="1" fieldPosition="0"/>
    </format>
    <format dxfId="2243">
      <pivotArea dataOnly="0" labelOnly="1" outline="0" axis="axisValues" fieldPosition="0"/>
    </format>
    <format dxfId="2242">
      <pivotArea type="all" dataOnly="0" outline="0" fieldPosition="0"/>
    </format>
    <format dxfId="2241">
      <pivotArea outline="0" collapsedLevelsAreSubtotals="1" fieldPosition="0"/>
    </format>
    <format dxfId="2240">
      <pivotArea dataOnly="0" labelOnly="1" outline="0" axis="axisValues" fieldPosition="0"/>
    </format>
    <format dxfId="2239">
      <pivotArea type="all" dataOnly="0" outline="0" fieldPosition="0"/>
    </format>
    <format dxfId="2238">
      <pivotArea outline="0" collapsedLevelsAreSubtotals="1" fieldPosition="0"/>
    </format>
    <format dxfId="2237">
      <pivotArea dataOnly="0" labelOnly="1" outline="0" axis="axisValues" fieldPosition="0"/>
    </format>
    <format dxfId="2236">
      <pivotArea type="all" dataOnly="0" outline="0" fieldPosition="0"/>
    </format>
    <format dxfId="2235">
      <pivotArea outline="0" collapsedLevelsAreSubtotals="1" fieldPosition="0"/>
    </format>
    <format dxfId="2234">
      <pivotArea dataOnly="0" labelOnly="1" outline="0" axis="axisValues" fieldPosition="0"/>
    </format>
    <format dxfId="2233">
      <pivotArea type="all" dataOnly="0" outline="0" fieldPosition="0"/>
    </format>
    <format dxfId="2232">
      <pivotArea outline="0" collapsedLevelsAreSubtotals="1" fieldPosition="0"/>
    </format>
    <format dxfId="2231">
      <pivotArea dataOnly="0" labelOnly="1" outline="0" axis="axisValues" fieldPosition="0"/>
    </format>
    <format dxfId="2230">
      <pivotArea type="all" dataOnly="0" outline="0" fieldPosition="0"/>
    </format>
    <format dxfId="2229">
      <pivotArea outline="0" collapsedLevelsAreSubtotals="1" fieldPosition="0"/>
    </format>
    <format dxfId="22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9506BC89-2618-4D08-B116-2E6FE33CD314}" name="PivotTable38"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63:C382" firstHeaderRow="1" firstDataRow="1" firstDataCol="1" rowPageCount="3" colPageCount="1"/>
  <pivotFields count="68">
    <pivotField showAll="0" defaultSubtotal="0"/>
    <pivotField axis="axisPage" multipleItemSelectionAllowed="1" showAll="0" defaultSubtotal="0">
      <items count="5">
        <item h="1" x="1"/>
        <item h="1" x="2"/>
        <item h="1" x="4"/>
        <item x="3"/>
        <item x="0"/>
      </items>
    </pivotField>
    <pivotField axis="axisPage" multipleItemSelectionAllowed="1" showAll="0" defaultSubtotal="0">
      <items count="2">
        <item h="1" x="1"/>
        <item x="0"/>
      </items>
    </pivotField>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defaultSubtotal="0">
      <items count="19">
        <item x="17"/>
        <item x="7"/>
        <item x="11"/>
        <item x="15"/>
        <item x="8"/>
        <item x="16"/>
        <item x="3"/>
        <item x="14"/>
        <item x="9"/>
        <item x="6"/>
        <item x="12"/>
        <item x="4"/>
        <item x="5"/>
        <item x="1"/>
        <item x="0"/>
        <item x="10"/>
        <item x="2"/>
        <item x="13"/>
        <item x="18"/>
      </items>
    </pivotField>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56"/>
  </rowFields>
  <rowItems count="19">
    <i>
      <x/>
    </i>
    <i>
      <x v="1"/>
    </i>
    <i>
      <x v="2"/>
    </i>
    <i>
      <x v="3"/>
    </i>
    <i>
      <x v="4"/>
    </i>
    <i>
      <x v="5"/>
    </i>
    <i>
      <x v="6"/>
    </i>
    <i>
      <x v="7"/>
    </i>
    <i>
      <x v="8"/>
    </i>
    <i>
      <x v="9"/>
    </i>
    <i>
      <x v="10"/>
    </i>
    <i>
      <x v="11"/>
    </i>
    <i>
      <x v="12"/>
    </i>
    <i>
      <x v="13"/>
    </i>
    <i>
      <x v="14"/>
    </i>
    <i>
      <x v="15"/>
    </i>
    <i>
      <x v="16"/>
    </i>
    <i>
      <x v="17"/>
    </i>
    <i t="grand">
      <x/>
    </i>
  </rowItems>
  <colItems count="1">
    <i/>
  </colItems>
  <pageFields count="3">
    <pageField fld="7" hier="-1"/>
    <pageField fld="2" hier="-1"/>
    <pageField fld="1" hier="-1"/>
  </pageFields>
  <dataFields count="1">
    <dataField name="Sum of Net Dwellings" fld="40" baseField="0" baseItem="0"/>
  </dataFields>
  <formats count="34">
    <format dxfId="2289">
      <pivotArea type="all" dataOnly="0" outline="0" fieldPosition="0"/>
    </format>
    <format dxfId="2288">
      <pivotArea type="all" dataOnly="0" outline="0" fieldPosition="0"/>
    </format>
    <format dxfId="2287">
      <pivotArea type="all" dataOnly="0" outline="0" fieldPosition="0"/>
    </format>
    <format dxfId="2286">
      <pivotArea type="all" dataOnly="0" outline="0" fieldPosition="0"/>
    </format>
    <format dxfId="2285">
      <pivotArea type="all" dataOnly="0" outline="0" fieldPosition="0"/>
    </format>
    <format dxfId="2284">
      <pivotArea type="all" dataOnly="0" outline="0" fieldPosition="0"/>
    </format>
    <format dxfId="2283">
      <pivotArea type="all" dataOnly="0" outline="0" fieldPosition="0"/>
    </format>
    <format dxfId="2282">
      <pivotArea field="56" type="button" dataOnly="0" labelOnly="1" outline="0" axis="axisRow" fieldPosition="0"/>
    </format>
    <format dxfId="2281">
      <pivotArea dataOnly="0" labelOnly="1" outline="0" fieldPosition="0">
        <references count="1">
          <reference field="4294967294" count="1">
            <x v="0"/>
          </reference>
        </references>
      </pivotArea>
    </format>
    <format dxfId="2280">
      <pivotArea field="56" type="button" dataOnly="0" labelOnly="1" outline="0" axis="axisRow" fieldPosition="0"/>
    </format>
    <format dxfId="2279">
      <pivotArea dataOnly="0" labelOnly="1" outline="0" fieldPosition="0">
        <references count="1">
          <reference field="4294967294" count="1">
            <x v="0"/>
          </reference>
        </references>
      </pivotArea>
    </format>
    <format dxfId="2278">
      <pivotArea field="56" type="button" dataOnly="0" labelOnly="1" outline="0" axis="axisRow" fieldPosition="0"/>
    </format>
    <format dxfId="2277">
      <pivotArea dataOnly="0" labelOnly="1" outline="0" fieldPosition="0">
        <references count="1">
          <reference field="4294967294" count="1">
            <x v="0"/>
          </reference>
        </references>
      </pivotArea>
    </format>
    <format dxfId="2276">
      <pivotArea type="all" dataOnly="0" outline="0" fieldPosition="0"/>
    </format>
    <format dxfId="2275">
      <pivotArea type="all" dataOnly="0" outline="0" fieldPosition="0"/>
    </format>
    <format dxfId="2274">
      <pivotArea type="all" dataOnly="0" outline="0" fieldPosition="0"/>
    </format>
    <format dxfId="2273">
      <pivotArea type="all" dataOnly="0" outline="0" fieldPosition="0"/>
    </format>
    <format dxfId="2272">
      <pivotArea outline="0" collapsedLevelsAreSubtotals="1" fieldPosition="0"/>
    </format>
    <format dxfId="2271">
      <pivotArea field="56" type="button" dataOnly="0" labelOnly="1" outline="0" axis="axisRow" fieldPosition="0"/>
    </format>
    <format dxfId="2270">
      <pivotArea dataOnly="0" labelOnly="1" fieldPosition="0">
        <references count="1">
          <reference field="56" count="17">
            <x v="0"/>
            <x v="1"/>
            <x v="2"/>
            <x v="3"/>
            <x v="4"/>
            <x v="5"/>
            <x v="6"/>
            <x v="7"/>
            <x v="8"/>
            <x v="9"/>
            <x v="10"/>
            <x v="11"/>
            <x v="12"/>
            <x v="13"/>
            <x v="14"/>
            <x v="15"/>
            <x v="16"/>
          </reference>
        </references>
      </pivotArea>
    </format>
    <format dxfId="2269">
      <pivotArea dataOnly="0" labelOnly="1" grandRow="1" outline="0" fieldPosition="0"/>
    </format>
    <format dxfId="2268">
      <pivotArea dataOnly="0" labelOnly="1" outline="0" axis="axisValues" fieldPosition="0"/>
    </format>
    <format dxfId="2267">
      <pivotArea type="all" dataOnly="0" outline="0" fieldPosition="0"/>
    </format>
    <format dxfId="2266">
      <pivotArea outline="0" collapsedLevelsAreSubtotals="1" fieldPosition="0"/>
    </format>
    <format dxfId="2265">
      <pivotArea field="56" type="button" dataOnly="0" labelOnly="1" outline="0" axis="axisRow" fieldPosition="0"/>
    </format>
    <format dxfId="2264">
      <pivotArea dataOnly="0" labelOnly="1" fieldPosition="0">
        <references count="1">
          <reference field="56" count="18">
            <x v="0"/>
            <x v="1"/>
            <x v="2"/>
            <x v="3"/>
            <x v="4"/>
            <x v="5"/>
            <x v="6"/>
            <x v="7"/>
            <x v="8"/>
            <x v="9"/>
            <x v="10"/>
            <x v="11"/>
            <x v="12"/>
            <x v="13"/>
            <x v="14"/>
            <x v="15"/>
            <x v="16"/>
            <x v="17"/>
          </reference>
        </references>
      </pivotArea>
    </format>
    <format dxfId="2263">
      <pivotArea dataOnly="0" labelOnly="1" grandRow="1" outline="0" fieldPosition="0"/>
    </format>
    <format dxfId="2262">
      <pivotArea dataOnly="0" labelOnly="1" outline="0" axis="axisValues" fieldPosition="0"/>
    </format>
    <format dxfId="2261">
      <pivotArea type="all" dataOnly="0" outline="0" fieldPosition="0"/>
    </format>
    <format dxfId="2260">
      <pivotArea outline="0" collapsedLevelsAreSubtotals="1" fieldPosition="0"/>
    </format>
    <format dxfId="2259">
      <pivotArea field="56" type="button" dataOnly="0" labelOnly="1" outline="0" axis="axisRow" fieldPosition="0"/>
    </format>
    <format dxfId="2258">
      <pivotArea dataOnly="0" labelOnly="1" fieldPosition="0">
        <references count="1">
          <reference field="56" count="18">
            <x v="0"/>
            <x v="1"/>
            <x v="2"/>
            <x v="3"/>
            <x v="4"/>
            <x v="5"/>
            <x v="6"/>
            <x v="7"/>
            <x v="8"/>
            <x v="9"/>
            <x v="10"/>
            <x v="11"/>
            <x v="12"/>
            <x v="13"/>
            <x v="14"/>
            <x v="15"/>
            <x v="16"/>
            <x v="17"/>
          </reference>
        </references>
      </pivotArea>
    </format>
    <format dxfId="2257">
      <pivotArea dataOnly="0" labelOnly="1" grandRow="1" outline="0" fieldPosition="0"/>
    </format>
    <format dxfId="22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B183C46-AA7B-45C9-A4FE-27B9C1258FE7}" name="PivotTable9"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270:C289" firstHeaderRow="1" firstDataRow="1" firstDataCol="1" rowPageCount="1" colPageCount="1"/>
  <pivotFields count="57">
    <pivotField showAll="0" defaultSubtotal="0"/>
    <pivotField multipleItemSelectionAllowed="1" showAll="0" defaultSubtotal="0"/>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multipleItemSelectionAllowed="1"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dataField="1"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axis="axisRow" showAll="0" sortType="ascending" defaultSubtotal="0">
      <items count="19">
        <item x="17"/>
        <item x="7"/>
        <item x="11"/>
        <item x="15"/>
        <item x="8"/>
        <item x="16"/>
        <item x="3"/>
        <item x="14"/>
        <item x="9"/>
        <item x="6"/>
        <item x="18"/>
        <item x="12"/>
        <item x="4"/>
        <item x="5"/>
        <item x="1"/>
        <item x="0"/>
        <item x="10"/>
        <item x="2"/>
        <item x="13"/>
      </items>
    </pivotField>
  </pivotFields>
  <rowFields count="1">
    <field x="56"/>
  </rowFields>
  <rowItems count="19">
    <i>
      <x/>
    </i>
    <i>
      <x v="1"/>
    </i>
    <i>
      <x v="2"/>
    </i>
    <i>
      <x v="3"/>
    </i>
    <i>
      <x v="4"/>
    </i>
    <i>
      <x v="5"/>
    </i>
    <i>
      <x v="6"/>
    </i>
    <i>
      <x v="7"/>
    </i>
    <i>
      <x v="8"/>
    </i>
    <i>
      <x v="9"/>
    </i>
    <i>
      <x v="11"/>
    </i>
    <i>
      <x v="12"/>
    </i>
    <i>
      <x v="13"/>
    </i>
    <i>
      <x v="14"/>
    </i>
    <i>
      <x v="15"/>
    </i>
    <i>
      <x v="16"/>
    </i>
    <i>
      <x v="17"/>
    </i>
    <i>
      <x v="18"/>
    </i>
    <i t="grand">
      <x/>
    </i>
  </rowItems>
  <colItems count="1">
    <i/>
  </colItems>
  <pageFields count="1">
    <pageField fld="7" hier="-1"/>
  </pageFields>
  <dataFields count="1">
    <dataField name="Sum of Net Dwellings" fld="40" baseField="0" baseItem="0"/>
  </dataFields>
  <formats count="27">
    <format dxfId="220">
      <pivotArea type="all" dataOnly="0" outline="0" fieldPosition="0"/>
    </format>
    <format dxfId="219">
      <pivotArea type="all" dataOnly="0" outline="0" fieldPosition="0"/>
    </format>
    <format dxfId="218">
      <pivotArea type="all" dataOnly="0" outline="0" fieldPosition="0"/>
    </format>
    <format dxfId="217">
      <pivotArea type="all" dataOnly="0" outline="0" fieldPosition="0"/>
    </format>
    <format dxfId="216">
      <pivotArea type="all" dataOnly="0" outline="0" fieldPosition="0"/>
    </format>
    <format dxfId="215">
      <pivotArea type="all" dataOnly="0" outline="0" fieldPosition="0"/>
    </format>
    <format dxfId="214">
      <pivotArea type="all" dataOnly="0" outline="0" fieldPosition="0"/>
    </format>
    <format dxfId="213">
      <pivotArea type="all" dataOnly="0" outline="0" fieldPosition="0"/>
    </format>
    <format dxfId="212">
      <pivotArea type="all" dataOnly="0" outline="0" fieldPosition="0"/>
    </format>
    <format dxfId="211">
      <pivotArea type="all" dataOnly="0" outline="0" fieldPosition="0"/>
    </format>
    <format dxfId="210">
      <pivotArea type="all" dataOnly="0" outline="0" fieldPosition="0"/>
    </format>
    <format dxfId="209">
      <pivotArea outline="0" collapsedLevelsAreSubtotals="1" fieldPosition="0"/>
    </format>
    <format dxfId="208">
      <pivotArea field="56" type="button" dataOnly="0" labelOnly="1" outline="0" axis="axisRow" fieldPosition="0"/>
    </format>
    <format dxfId="207">
      <pivotArea dataOnly="0" labelOnly="1" grandRow="1" outline="0" fieldPosition="0"/>
    </format>
    <format dxfId="206">
      <pivotArea dataOnly="0" labelOnly="1" outline="0" axis="axisValues" fieldPosition="0"/>
    </format>
    <format dxfId="205">
      <pivotArea type="all" dataOnly="0" outline="0" fieldPosition="0"/>
    </format>
    <format dxfId="204">
      <pivotArea outline="0" collapsedLevelsAreSubtotals="1" fieldPosition="0"/>
    </format>
    <format dxfId="203">
      <pivotArea field="56" type="button" dataOnly="0" labelOnly="1" outline="0" axis="axisRow" fieldPosition="0"/>
    </format>
    <format dxfId="202">
      <pivotArea dataOnly="0" labelOnly="1" fieldPosition="0">
        <references count="1">
          <reference field="56" count="18">
            <x v="0"/>
            <x v="1"/>
            <x v="2"/>
            <x v="3"/>
            <x v="4"/>
            <x v="5"/>
            <x v="6"/>
            <x v="7"/>
            <x v="8"/>
            <x v="9"/>
            <x v="11"/>
            <x v="12"/>
            <x v="13"/>
            <x v="14"/>
            <x v="15"/>
            <x v="16"/>
            <x v="17"/>
            <x v="18"/>
          </reference>
        </references>
      </pivotArea>
    </format>
    <format dxfId="201">
      <pivotArea dataOnly="0" labelOnly="1" grandRow="1" outline="0" fieldPosition="0"/>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field="56" type="button" dataOnly="0" labelOnly="1" outline="0" axis="axisRow" fieldPosition="0"/>
    </format>
    <format dxfId="196">
      <pivotArea dataOnly="0" labelOnly="1" fieldPosition="0">
        <references count="1">
          <reference field="56" count="18">
            <x v="0"/>
            <x v="1"/>
            <x v="2"/>
            <x v="3"/>
            <x v="4"/>
            <x v="5"/>
            <x v="6"/>
            <x v="7"/>
            <x v="8"/>
            <x v="9"/>
            <x v="11"/>
            <x v="12"/>
            <x v="13"/>
            <x v="14"/>
            <x v="15"/>
            <x v="16"/>
            <x v="17"/>
            <x v="18"/>
          </reference>
        </references>
      </pivotArea>
    </format>
    <format dxfId="195">
      <pivotArea dataOnly="0" labelOnly="1" grandRow="1" outline="0" fieldPosition="0"/>
    </format>
    <format dxfId="1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E2155DD2-B6AE-48DB-AB34-AD268F86A6F6}" name="PivotTable3" cacheId="2"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14:B15" firstHeaderRow="1" firstDataRow="1" firstDataCol="0" rowPageCount="2" colPageCount="1"/>
  <pivotFields count="57">
    <pivotField showAll="0"/>
    <pivotField axis="axisPage" multipleItemSelectionAllowed="1" showAll="0" defaultSubtotal="0">
      <items count="5">
        <item h="1" x="1"/>
        <item h="1" x="2"/>
        <item h="1" x="4"/>
        <item x="3"/>
        <item x="0"/>
      </items>
    </pivotField>
    <pivotField showAll="0"/>
    <pivotField numFmtId="14" showAll="0"/>
    <pivotField numFmtId="14" showAll="0"/>
    <pivotField showAll="0" defaultSubtotal="0"/>
    <pivotField showAll="0" defaultSubtotal="0"/>
    <pivotField axis="axisPage" multipleItemSelectionAllowe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Net Dwellings" fld="40" baseField="0" baseItem="0"/>
  </dataFields>
  <formats count="29">
    <format dxfId="2318">
      <pivotArea type="all" dataOnly="0" outline="0" fieldPosition="0"/>
    </format>
    <format dxfId="2317">
      <pivotArea type="all" dataOnly="0" outline="0" fieldPosition="0"/>
    </format>
    <format dxfId="2316">
      <pivotArea type="all" dataOnly="0" outline="0" fieldPosition="0"/>
    </format>
    <format dxfId="2315">
      <pivotArea type="all" dataOnly="0" outline="0" fieldPosition="0"/>
    </format>
    <format dxfId="2314">
      <pivotArea type="all" dataOnly="0" outline="0" fieldPosition="0"/>
    </format>
    <format dxfId="2313">
      <pivotArea type="all" dataOnly="0" outline="0" fieldPosition="0"/>
    </format>
    <format dxfId="2312">
      <pivotArea type="all" dataOnly="0" outline="0" fieldPosition="0"/>
    </format>
    <format dxfId="2311">
      <pivotArea type="all" dataOnly="0" outline="0" fieldPosition="0"/>
    </format>
    <format dxfId="2310">
      <pivotArea type="all" dataOnly="0" outline="0" fieldPosition="0"/>
    </format>
    <format dxfId="2309">
      <pivotArea type="all" dataOnly="0" outline="0" fieldPosition="0"/>
    </format>
    <format dxfId="2308">
      <pivotArea type="all" dataOnly="0" outline="0" fieldPosition="0"/>
    </format>
    <format dxfId="2307">
      <pivotArea outline="0" collapsedLevelsAreSubtotals="1" fieldPosition="0"/>
    </format>
    <format dxfId="2306">
      <pivotArea dataOnly="0" labelOnly="1" outline="0" axis="axisValues" fieldPosition="0"/>
    </format>
    <format dxfId="2305">
      <pivotArea type="all" dataOnly="0" outline="0" fieldPosition="0"/>
    </format>
    <format dxfId="2304">
      <pivotArea outline="0" collapsedLevelsAreSubtotals="1" fieldPosition="0"/>
    </format>
    <format dxfId="2303">
      <pivotArea dataOnly="0" labelOnly="1" outline="0" axis="axisValues" fieldPosition="0"/>
    </format>
    <format dxfId="2302">
      <pivotArea type="all" dataOnly="0" outline="0" fieldPosition="0"/>
    </format>
    <format dxfId="2301">
      <pivotArea outline="0" collapsedLevelsAreSubtotals="1" fieldPosition="0"/>
    </format>
    <format dxfId="2300">
      <pivotArea dataOnly="0" labelOnly="1" outline="0" axis="axisValues" fieldPosition="0"/>
    </format>
    <format dxfId="2299">
      <pivotArea type="all" dataOnly="0" outline="0" fieldPosition="0"/>
    </format>
    <format dxfId="2298">
      <pivotArea outline="0" collapsedLevelsAreSubtotals="1" fieldPosition="0"/>
    </format>
    <format dxfId="2297">
      <pivotArea dataOnly="0" labelOnly="1" outline="0" axis="axisValues" fieldPosition="0"/>
    </format>
    <format dxfId="2296">
      <pivotArea outline="0" collapsedLevelsAreSubtotals="1" fieldPosition="0"/>
    </format>
    <format dxfId="2295">
      <pivotArea type="all" dataOnly="0" outline="0" fieldPosition="0"/>
    </format>
    <format dxfId="2294">
      <pivotArea outline="0" collapsedLevelsAreSubtotals="1" fieldPosition="0"/>
    </format>
    <format dxfId="2293">
      <pivotArea dataOnly="0" labelOnly="1" outline="0" axis="axisValues" fieldPosition="0"/>
    </format>
    <format dxfId="2292">
      <pivotArea type="all" dataOnly="0" outline="0" fieldPosition="0"/>
    </format>
    <format dxfId="2291">
      <pivotArea outline="0" collapsedLevelsAreSubtotals="1" fieldPosition="0"/>
    </format>
    <format dxfId="229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B92A6448-CE4D-4C28-95FB-A8A7391B63F1}" name="PivotTable14"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62:H63" firstHeaderRow="1" firstDataRow="1" firstDataCol="0" rowPageCount="2" colPageCount="1"/>
  <pivotFields count="68">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h="1" x="1"/>
        <item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Items count="1">
    <i/>
  </rowItems>
  <colItems count="1">
    <i/>
  </colItems>
  <pageFields count="2">
    <pageField fld="7" hier="-1"/>
    <pageField fld="1" hier="-1"/>
  </pageFields>
  <dataFields count="1">
    <dataField name="Sum of Net Dwellings" fld="40" baseField="0" baseItem="0"/>
  </dataFields>
  <formats count="30">
    <format dxfId="2348">
      <pivotArea type="all" dataOnly="0" outline="0" fieldPosition="0"/>
    </format>
    <format dxfId="2347">
      <pivotArea type="all" dataOnly="0" outline="0" fieldPosition="0"/>
    </format>
    <format dxfId="2346">
      <pivotArea type="all" dataOnly="0" outline="0" fieldPosition="0"/>
    </format>
    <format dxfId="2345">
      <pivotArea type="all" dataOnly="0" outline="0" fieldPosition="0"/>
    </format>
    <format dxfId="2344">
      <pivotArea type="all" dataOnly="0" outline="0" fieldPosition="0"/>
    </format>
    <format dxfId="2343">
      <pivotArea type="all" dataOnly="0" outline="0" fieldPosition="0"/>
    </format>
    <format dxfId="2342">
      <pivotArea type="all" dataOnly="0" outline="0" fieldPosition="0"/>
    </format>
    <format dxfId="2341">
      <pivotArea type="all" dataOnly="0" outline="0" fieldPosition="0"/>
    </format>
    <format dxfId="2340">
      <pivotArea type="all" dataOnly="0" outline="0" fieldPosition="0"/>
    </format>
    <format dxfId="2339">
      <pivotArea type="all" dataOnly="0" outline="0" fieldPosition="0"/>
    </format>
    <format dxfId="2338">
      <pivotArea type="all" dataOnly="0" outline="0" fieldPosition="0"/>
    </format>
    <format dxfId="2337">
      <pivotArea outline="0" collapsedLevelsAreSubtotals="1" fieldPosition="0"/>
    </format>
    <format dxfId="2336">
      <pivotArea dataOnly="0" labelOnly="1" outline="0" axis="axisValues" fieldPosition="0"/>
    </format>
    <format dxfId="2335">
      <pivotArea type="all" dataOnly="0" outline="0" fieldPosition="0"/>
    </format>
    <format dxfId="2334">
      <pivotArea outline="0" collapsedLevelsAreSubtotals="1" fieldPosition="0"/>
    </format>
    <format dxfId="2333">
      <pivotArea dataOnly="0" labelOnly="1" outline="0" axis="axisValues" fieldPosition="0"/>
    </format>
    <format dxfId="2332">
      <pivotArea type="all" dataOnly="0" outline="0" fieldPosition="0"/>
    </format>
    <format dxfId="2331">
      <pivotArea outline="0" collapsedLevelsAreSubtotals="1" fieldPosition="0"/>
    </format>
    <format dxfId="2330">
      <pivotArea dataOnly="0" labelOnly="1" outline="0" axis="axisValues" fieldPosition="0"/>
    </format>
    <format dxfId="2329">
      <pivotArea type="all" dataOnly="0" outline="0" fieldPosition="0"/>
    </format>
    <format dxfId="2328">
      <pivotArea outline="0" collapsedLevelsAreSubtotals="1" fieldPosition="0"/>
    </format>
    <format dxfId="2327">
      <pivotArea dataOnly="0" labelOnly="1" outline="0" axis="axisValues" fieldPosition="0"/>
    </format>
    <format dxfId="2326">
      <pivotArea outline="0" collapsedLevelsAreSubtotals="1" fieldPosition="0"/>
    </format>
    <format dxfId="2325">
      <pivotArea type="all" dataOnly="0" outline="0" fieldPosition="0"/>
    </format>
    <format dxfId="2324">
      <pivotArea outline="0" collapsedLevelsAreSubtotals="1" fieldPosition="0"/>
    </format>
    <format dxfId="2323">
      <pivotArea dataOnly="0" labelOnly="1" outline="0" axis="axisValues" fieldPosition="0"/>
    </format>
    <format dxfId="2322">
      <pivotArea type="all" dataOnly="0" outline="0" fieldPosition="0"/>
    </format>
    <format dxfId="2321">
      <pivotArea outline="0" collapsedLevelsAreSubtotals="1" fieldPosition="0"/>
    </format>
    <format dxfId="2320">
      <pivotArea dataOnly="0" labelOnly="1" outline="0" axis="axisValues" fieldPosition="0"/>
    </format>
    <format dxfId="23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78055496-5FBB-4F86-8266-ACD19D17EF35}" name="PivotTable58" cacheId="7"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325:I328" firstHeaderRow="0" firstDataRow="1" firstDataCol="1" rowPageCount="2" colPageCount="1"/>
  <pivotFields count="68">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x="0"/>
        <item h="1" x="1"/>
        <item h="1" x="2"/>
        <item h="1" x="4"/>
        <item h="1" x="3"/>
      </items>
    </pivotField>
    <pivotField axis="axisRow" multipleItemSelectionAllowed="1" showAll="0" defaultSubtotal="0">
      <items count="6">
        <item x="1"/>
        <item x="2"/>
        <item x="0"/>
        <item x="5"/>
        <item x="3"/>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defaultSubtotal="0"/>
    <pivotField showAll="0" defaultSubtota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defaultSubtotal="0"/>
    <pivotField showAll="0" defaultSubtotal="0"/>
    <pivotField showAll="0" defaultSubtotal="0"/>
    <pivotField showAll="0"/>
    <pivotField showAll="0" defaultSubtota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s>
  <rowFields count="1">
    <field x="8"/>
  </rowFields>
  <rowItems count="3">
    <i>
      <x/>
    </i>
    <i>
      <x v="2"/>
    </i>
    <i t="grand">
      <x/>
    </i>
  </rowItems>
  <colFields count="1">
    <field x="-2"/>
  </colFields>
  <colItems count="7">
    <i>
      <x/>
    </i>
    <i i="1">
      <x v="1"/>
    </i>
    <i i="2">
      <x v="2"/>
    </i>
    <i i="3">
      <x v="3"/>
    </i>
    <i i="4">
      <x v="4"/>
    </i>
    <i i="5">
      <x v="5"/>
    </i>
    <i i="6">
      <x v="6"/>
    </i>
  </colItems>
  <pageFields count="2">
    <pageField fld="7" hier="-1"/>
    <pageField fld="1" hier="-1"/>
  </pageFields>
  <dataFields count="7">
    <dataField name="Sum of 1 bed net" fld="32" baseField="0" baseItem="0"/>
    <dataField name="Sum of 2 bed net" fld="33" baseField="0" baseItem="0"/>
    <dataField name="Sum of 3 bed net" fld="34" baseField="0" baseItem="0"/>
    <dataField name="Sum of 4 bed net" fld="35" baseField="0" baseItem="0"/>
    <dataField name="Sum of 5 bed net" fld="36" baseField="0" baseItem="0"/>
    <dataField name="Sum of 6 bed net" fld="37" baseField="0" baseItem="0"/>
    <dataField name="Sum of 7 bed net" fld="38" baseField="0" baseItem="0"/>
  </dataFields>
  <formats count="28">
    <format dxfId="2376">
      <pivotArea type="all" dataOnly="0" outline="0" fieldPosition="0"/>
    </format>
    <format dxfId="2375">
      <pivotArea type="all" dataOnly="0" outline="0" fieldPosition="0"/>
    </format>
    <format dxfId="2374">
      <pivotArea type="all" dataOnly="0" outline="0" fieldPosition="0"/>
    </format>
    <format dxfId="2373">
      <pivotArea type="all" dataOnly="0" outline="0" fieldPosition="0"/>
    </format>
    <format dxfId="2372">
      <pivotArea type="all" dataOnly="0" outline="0" fieldPosition="0"/>
    </format>
    <format dxfId="2371">
      <pivotArea type="all" dataOnly="0" outline="0" fieldPosition="0"/>
    </format>
    <format dxfId="2370">
      <pivotArea type="all" dataOnly="0" outline="0" fieldPosition="0"/>
    </format>
    <format dxfId="2369">
      <pivotArea type="all" dataOnly="0" outline="0" fieldPosition="0"/>
    </format>
    <format dxfId="2368">
      <pivotArea type="all" dataOnly="0" outline="0" fieldPosition="0"/>
    </format>
    <format dxfId="2367">
      <pivotArea type="all" dataOnly="0" outline="0" fieldPosition="0"/>
    </format>
    <format dxfId="2366">
      <pivotArea type="all" dataOnly="0" outline="0" fieldPosition="0"/>
    </format>
    <format dxfId="2365">
      <pivotArea outline="0" collapsedLevelsAreSubtotals="1" fieldPosition="0"/>
    </format>
    <format dxfId="2364">
      <pivotArea field="8" type="button" dataOnly="0" labelOnly="1" outline="0" axis="axisRow" fieldPosition="0"/>
    </format>
    <format dxfId="2363">
      <pivotArea dataOnly="0" labelOnly="1" fieldPosition="0">
        <references count="1">
          <reference field="8" count="3">
            <x v="0"/>
            <x v="1"/>
            <x v="2"/>
          </reference>
        </references>
      </pivotArea>
    </format>
    <format dxfId="2362">
      <pivotArea dataOnly="0" labelOnly="1" grandRow="1" outline="0" fieldPosition="0"/>
    </format>
    <format dxfId="2361">
      <pivotArea dataOnly="0" labelOnly="1" outline="0" fieldPosition="0">
        <references count="1">
          <reference field="4294967294" count="7">
            <x v="0"/>
            <x v="1"/>
            <x v="2"/>
            <x v="3"/>
            <x v="4"/>
            <x v="5"/>
            <x v="6"/>
          </reference>
        </references>
      </pivotArea>
    </format>
    <format dxfId="2360">
      <pivotArea type="all" dataOnly="0" outline="0" fieldPosition="0"/>
    </format>
    <format dxfId="2359">
      <pivotArea outline="0" collapsedLevelsAreSubtotals="1" fieldPosition="0"/>
    </format>
    <format dxfId="2358">
      <pivotArea field="8" type="button" dataOnly="0" labelOnly="1" outline="0" axis="axisRow" fieldPosition="0"/>
    </format>
    <format dxfId="2357">
      <pivotArea dataOnly="0" labelOnly="1" fieldPosition="0">
        <references count="1">
          <reference field="8" count="2">
            <x v="0"/>
            <x v="2"/>
          </reference>
        </references>
      </pivotArea>
    </format>
    <format dxfId="2356">
      <pivotArea dataOnly="0" labelOnly="1" grandRow="1" outline="0" fieldPosition="0"/>
    </format>
    <format dxfId="2355">
      <pivotArea dataOnly="0" labelOnly="1" outline="0" fieldPosition="0">
        <references count="1">
          <reference field="4294967294" count="7">
            <x v="0"/>
            <x v="1"/>
            <x v="2"/>
            <x v="3"/>
            <x v="4"/>
            <x v="5"/>
            <x v="6"/>
          </reference>
        </references>
      </pivotArea>
    </format>
    <format dxfId="2354">
      <pivotArea type="all" dataOnly="0" outline="0" fieldPosition="0"/>
    </format>
    <format dxfId="2353">
      <pivotArea outline="0" collapsedLevelsAreSubtotals="1" fieldPosition="0"/>
    </format>
    <format dxfId="2352">
      <pivotArea field="8" type="button" dataOnly="0" labelOnly="1" outline="0" axis="axisRow" fieldPosition="0"/>
    </format>
    <format dxfId="2351">
      <pivotArea dataOnly="0" labelOnly="1" fieldPosition="0">
        <references count="1">
          <reference field="8" count="2">
            <x v="0"/>
            <x v="2"/>
          </reference>
        </references>
      </pivotArea>
    </format>
    <format dxfId="2350">
      <pivotArea dataOnly="0" labelOnly="1" grandRow="1" outline="0" fieldPosition="0"/>
    </format>
    <format dxfId="2349">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26DA3C4E-4C5C-48CD-A5EB-7A8D477A68E2}" name="PivotTable23"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H213:H214"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h="1" x="1"/>
        <item x="2"/>
        <item h="1" m="1" x="5"/>
        <item h="1" m="1" x="4"/>
        <item h="1" m="1" x="6"/>
        <item h="1" x="3"/>
      </items>
    </pivotField>
    <pivotField axis="axisPage" multipleItemSelectionAllowed="1" showAll="0" defaultSubtotal="0">
      <items count="8">
        <item x="1"/>
        <item x="2"/>
        <item x="0"/>
        <item m="1" x="6"/>
        <item x="3"/>
        <item m="1" x="7"/>
        <item m="1" x="5"/>
        <item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dataField="1"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Net Dwellings" fld="40" baseField="0" baseItem="0"/>
  </dataFields>
  <formats count="28">
    <format dxfId="2404">
      <pivotArea type="all" dataOnly="0" outline="0" fieldPosition="0"/>
    </format>
    <format dxfId="2403">
      <pivotArea type="all" dataOnly="0" outline="0" fieldPosition="0"/>
    </format>
    <format dxfId="2402">
      <pivotArea type="all" dataOnly="0" outline="0" fieldPosition="0"/>
    </format>
    <format dxfId="2401">
      <pivotArea type="all" dataOnly="0" outline="0" fieldPosition="0"/>
    </format>
    <format dxfId="2400">
      <pivotArea type="all" dataOnly="0" outline="0" fieldPosition="0"/>
    </format>
    <format dxfId="2399">
      <pivotArea type="all" dataOnly="0" outline="0" fieldPosition="0"/>
    </format>
    <format dxfId="2398">
      <pivotArea type="all" dataOnly="0" outline="0" fieldPosition="0"/>
    </format>
    <format dxfId="2397">
      <pivotArea type="all" dataOnly="0" outline="0" fieldPosition="0"/>
    </format>
    <format dxfId="2396">
      <pivotArea type="all" dataOnly="0" outline="0" fieldPosition="0"/>
    </format>
    <format dxfId="2395">
      <pivotArea type="all" dataOnly="0" outline="0" fieldPosition="0"/>
    </format>
    <format dxfId="2394">
      <pivotArea type="all" dataOnly="0" outline="0" fieldPosition="0"/>
    </format>
    <format dxfId="2393">
      <pivotArea outline="0" collapsedLevelsAreSubtotals="1" fieldPosition="0"/>
    </format>
    <format dxfId="2392">
      <pivotArea dataOnly="0" labelOnly="1" outline="0" axis="axisValues" fieldPosition="0"/>
    </format>
    <format dxfId="2391">
      <pivotArea type="all" dataOnly="0" outline="0" fieldPosition="0"/>
    </format>
    <format dxfId="2390">
      <pivotArea outline="0" collapsedLevelsAreSubtotals="1" fieldPosition="0"/>
    </format>
    <format dxfId="2389">
      <pivotArea dataOnly="0" labelOnly="1" outline="0" axis="axisValues" fieldPosition="0"/>
    </format>
    <format dxfId="2388">
      <pivotArea type="all" dataOnly="0" outline="0" fieldPosition="0"/>
    </format>
    <format dxfId="2387">
      <pivotArea outline="0" collapsedLevelsAreSubtotals="1" fieldPosition="0"/>
    </format>
    <format dxfId="2386">
      <pivotArea dataOnly="0" labelOnly="1" outline="0" axis="axisValues" fieldPosition="0"/>
    </format>
    <format dxfId="2385">
      <pivotArea type="all" dataOnly="0" outline="0" fieldPosition="0"/>
    </format>
    <format dxfId="2384">
      <pivotArea outline="0" collapsedLevelsAreSubtotals="1" fieldPosition="0"/>
    </format>
    <format dxfId="2383">
      <pivotArea dataOnly="0" labelOnly="1" outline="0" axis="axisValues" fieldPosition="0"/>
    </format>
    <format dxfId="2382">
      <pivotArea type="all" dataOnly="0" outline="0" fieldPosition="0"/>
    </format>
    <format dxfId="2381">
      <pivotArea outline="0" collapsedLevelsAreSubtotals="1" fieldPosition="0"/>
    </format>
    <format dxfId="2380">
      <pivotArea dataOnly="0" labelOnly="1" outline="0" axis="axisValues" fieldPosition="0"/>
    </format>
    <format dxfId="2379">
      <pivotArea type="all" dataOnly="0" outline="0" fieldPosition="0"/>
    </format>
    <format dxfId="2378">
      <pivotArea outline="0" collapsedLevelsAreSubtotals="1" fieldPosition="0"/>
    </format>
    <format dxfId="23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4E201A82-9053-4BF8-AA9E-F0050D12FAEA}" name="PivotTable12" cacheId="6"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71:E72" firstHeaderRow="1" firstDataRow="1" firstDataCol="0" rowPageCount="2" colPageCount="1"/>
  <pivotFields count="57">
    <pivotField showAll="0" defaultSubtotal="0"/>
    <pivotField axis="axisPage" multipleItemSelectionAllowed="1" showAll="0" defaultSubtotal="0">
      <items count="5">
        <item h="1" x="1"/>
        <item h="1" x="2"/>
        <item h="1" x="4"/>
        <item x="3"/>
        <item x="0"/>
      </items>
    </pivotField>
    <pivotField showAll="0" defaultSubtotal="0"/>
    <pivotField showAll="0"/>
    <pivotField showAll="0"/>
    <pivotField showAll="0" defaultSubtotal="0"/>
    <pivotField showAll="0" defaultSubtotal="0"/>
    <pivotField axis="axisPage" multipleItemSelectionAllowed="1" showAll="0" defaultSubtotal="0">
      <items count="5">
        <item h="1" x="0"/>
        <item x="1"/>
        <item h="1" x="2"/>
        <item h="1" x="4"/>
        <item h="1" x="3"/>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2">
    <pageField fld="7" hier="-1"/>
    <pageField fld="1" hier="-1"/>
  </pageFields>
  <dataFields count="1">
    <dataField name="Sum of Units Proposed" fld="31" baseField="0" baseItem="0"/>
  </dataFields>
  <formats count="28">
    <format dxfId="2432">
      <pivotArea type="all" dataOnly="0" outline="0" fieldPosition="0"/>
    </format>
    <format dxfId="2431">
      <pivotArea type="all" dataOnly="0" outline="0" fieldPosition="0"/>
    </format>
    <format dxfId="2430">
      <pivotArea type="all" dataOnly="0" outline="0" fieldPosition="0"/>
    </format>
    <format dxfId="2429">
      <pivotArea type="all" dataOnly="0" outline="0" fieldPosition="0"/>
    </format>
    <format dxfId="2428">
      <pivotArea type="all" dataOnly="0" outline="0" fieldPosition="0"/>
    </format>
    <format dxfId="2427">
      <pivotArea type="all" dataOnly="0" outline="0" fieldPosition="0"/>
    </format>
    <format dxfId="2426">
      <pivotArea type="all" dataOnly="0" outline="0" fieldPosition="0"/>
    </format>
    <format dxfId="2425">
      <pivotArea type="all" dataOnly="0" outline="0" fieldPosition="0"/>
    </format>
    <format dxfId="2424">
      <pivotArea type="all" dataOnly="0" outline="0" fieldPosition="0"/>
    </format>
    <format dxfId="2423">
      <pivotArea type="all" dataOnly="0" outline="0" fieldPosition="0"/>
    </format>
    <format dxfId="2422">
      <pivotArea type="all" dataOnly="0" outline="0" fieldPosition="0"/>
    </format>
    <format dxfId="2421">
      <pivotArea outline="0" collapsedLevelsAreSubtotals="1" fieldPosition="0"/>
    </format>
    <format dxfId="2420">
      <pivotArea dataOnly="0" labelOnly="1" outline="0" axis="axisValues" fieldPosition="0"/>
    </format>
    <format dxfId="2419">
      <pivotArea type="all" dataOnly="0" outline="0" fieldPosition="0"/>
    </format>
    <format dxfId="2418">
      <pivotArea outline="0" collapsedLevelsAreSubtotals="1" fieldPosition="0"/>
    </format>
    <format dxfId="2417">
      <pivotArea dataOnly="0" labelOnly="1" outline="0" axis="axisValues" fieldPosition="0"/>
    </format>
    <format dxfId="2416">
      <pivotArea type="all" dataOnly="0" outline="0" fieldPosition="0"/>
    </format>
    <format dxfId="2415">
      <pivotArea outline="0" collapsedLevelsAreSubtotals="1" fieldPosition="0"/>
    </format>
    <format dxfId="2414">
      <pivotArea dataOnly="0" labelOnly="1" outline="0" axis="axisValues" fieldPosition="0"/>
    </format>
    <format dxfId="2413">
      <pivotArea type="all" dataOnly="0" outline="0" fieldPosition="0"/>
    </format>
    <format dxfId="2412">
      <pivotArea outline="0" collapsedLevelsAreSubtotals="1" fieldPosition="0"/>
    </format>
    <format dxfId="2411">
      <pivotArea dataOnly="0" labelOnly="1" outline="0" axis="axisValues" fieldPosition="0"/>
    </format>
    <format dxfId="2410">
      <pivotArea type="all" dataOnly="0" outline="0" fieldPosition="0"/>
    </format>
    <format dxfId="2409">
      <pivotArea outline="0" collapsedLevelsAreSubtotals="1" fieldPosition="0"/>
    </format>
    <format dxfId="2408">
      <pivotArea dataOnly="0" labelOnly="1" outline="0" axis="axisValues" fieldPosition="0"/>
    </format>
    <format dxfId="2407">
      <pivotArea type="all" dataOnly="0" outline="0" fieldPosition="0"/>
    </format>
    <format dxfId="2406">
      <pivotArea outline="0" collapsedLevelsAreSubtotals="1" fieldPosition="0"/>
    </format>
    <format dxfId="24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A11F7986-2FA5-4ED5-ACF8-6CB7E40B81AD}" name="PivotTable72" cacheId="1"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E182:E183" firstHeaderRow="1" firstDataRow="1" firstDataCol="0" rowPageCount="3" colPageCount="1"/>
  <pivotFields count="57">
    <pivotField showAll="0" defaultSubtotal="0"/>
    <pivotField axis="axisPage" multipleItemSelectionAllowed="1" showAll="0" defaultSubtotal="0">
      <items count="6">
        <item h="1" x="1"/>
        <item h="1" x="2"/>
        <item h="1" x="4"/>
        <item x="3"/>
        <item x="0"/>
        <item h="1" m="1" x="5"/>
      </items>
    </pivotField>
    <pivotField showAll="0" defaultSubtotal="0"/>
    <pivotField showAll="0"/>
    <pivotField showAll="0"/>
    <pivotField showAll="0" defaultSubtotal="0"/>
    <pivotField showAll="0" defaultSubtotal="0"/>
    <pivotField axis="axisPage" multipleItemSelectionAllowed="1" showAll="0" defaultSubtotal="0">
      <items count="7">
        <item h="1" x="0"/>
        <item x="1"/>
        <item h="1" x="2"/>
        <item h="1" m="1" x="5"/>
        <item h="1" m="1" x="4"/>
        <item h="1" m="1" x="6"/>
        <item h="1" x="3"/>
      </items>
    </pivotField>
    <pivotField axis="axisPage" multipleItemSelectionAllowed="1" showAll="0" defaultSubtotal="0">
      <items count="8">
        <item h="1" x="1"/>
        <item x="2"/>
        <item h="1" x="0"/>
        <item h="1" m="1" x="6"/>
        <item h="1" x="3"/>
        <item h="1" m="1" x="7"/>
        <item h="1" m="1" x="5"/>
        <item h="1" x="4"/>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showAll="0" defaultSubtotal="0"/>
    <pivotField showAll="0"/>
    <pivotField showAll="0"/>
    <pivotField showAll="0"/>
    <pivotField showAll="0"/>
    <pivotField showAll="0"/>
    <pivotField showAll="0"/>
    <pivotField showAll="0"/>
    <pivotField showAll="0"/>
    <pivotField showAll="0" defaultSubtotal="0"/>
    <pivotField showAll="0"/>
    <pivotField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7" hier="-1"/>
    <pageField fld="1" hier="-1"/>
    <pageField fld="8" hier="-1"/>
  </pageFields>
  <dataFields count="1">
    <dataField name="Sum of Units Proposed" fld="31" baseField="0" baseItem="0"/>
  </dataFields>
  <formats count="28">
    <format dxfId="2460">
      <pivotArea type="all" dataOnly="0" outline="0" fieldPosition="0"/>
    </format>
    <format dxfId="2459">
      <pivotArea type="all" dataOnly="0" outline="0" fieldPosition="0"/>
    </format>
    <format dxfId="2458">
      <pivotArea type="all" dataOnly="0" outline="0" fieldPosition="0"/>
    </format>
    <format dxfId="2457">
      <pivotArea type="all" dataOnly="0" outline="0" fieldPosition="0"/>
    </format>
    <format dxfId="2456">
      <pivotArea type="all" dataOnly="0" outline="0" fieldPosition="0"/>
    </format>
    <format dxfId="2455">
      <pivotArea type="all" dataOnly="0" outline="0" fieldPosition="0"/>
    </format>
    <format dxfId="2454">
      <pivotArea type="all" dataOnly="0" outline="0" fieldPosition="0"/>
    </format>
    <format dxfId="2453">
      <pivotArea type="all" dataOnly="0" outline="0" fieldPosition="0"/>
    </format>
    <format dxfId="2452">
      <pivotArea type="all" dataOnly="0" outline="0" fieldPosition="0"/>
    </format>
    <format dxfId="2451">
      <pivotArea type="all" dataOnly="0" outline="0" fieldPosition="0"/>
    </format>
    <format dxfId="2450">
      <pivotArea type="all" dataOnly="0" outline="0" fieldPosition="0"/>
    </format>
    <format dxfId="2449">
      <pivotArea outline="0" collapsedLevelsAreSubtotals="1" fieldPosition="0"/>
    </format>
    <format dxfId="2448">
      <pivotArea dataOnly="0" labelOnly="1" outline="0" axis="axisValues" fieldPosition="0"/>
    </format>
    <format dxfId="2447">
      <pivotArea type="all" dataOnly="0" outline="0" fieldPosition="0"/>
    </format>
    <format dxfId="2446">
      <pivotArea outline="0" collapsedLevelsAreSubtotals="1" fieldPosition="0"/>
    </format>
    <format dxfId="2445">
      <pivotArea dataOnly="0" labelOnly="1" outline="0" axis="axisValues" fieldPosition="0"/>
    </format>
    <format dxfId="2444">
      <pivotArea type="all" dataOnly="0" outline="0" fieldPosition="0"/>
    </format>
    <format dxfId="2443">
      <pivotArea outline="0" collapsedLevelsAreSubtotals="1" fieldPosition="0"/>
    </format>
    <format dxfId="2442">
      <pivotArea dataOnly="0" labelOnly="1" outline="0" axis="axisValues" fieldPosition="0"/>
    </format>
    <format dxfId="2441">
      <pivotArea type="all" dataOnly="0" outline="0" fieldPosition="0"/>
    </format>
    <format dxfId="2440">
      <pivotArea outline="0" collapsedLevelsAreSubtotals="1" fieldPosition="0"/>
    </format>
    <format dxfId="2439">
      <pivotArea dataOnly="0" labelOnly="1" outline="0" axis="axisValues" fieldPosition="0"/>
    </format>
    <format dxfId="2438">
      <pivotArea type="all" dataOnly="0" outline="0" fieldPosition="0"/>
    </format>
    <format dxfId="2437">
      <pivotArea outline="0" collapsedLevelsAreSubtotals="1" fieldPosition="0"/>
    </format>
    <format dxfId="2436">
      <pivotArea dataOnly="0" labelOnly="1" outline="0" axis="axisValues" fieldPosition="0"/>
    </format>
    <format dxfId="2435">
      <pivotArea type="all" dataOnly="0" outline="0" fieldPosition="0"/>
    </format>
    <format dxfId="2434">
      <pivotArea outline="0" collapsedLevelsAreSubtotals="1" fieldPosition="0"/>
    </format>
    <format dxfId="243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A5383D5-C9B1-4F9A-AFAA-EF40ED2A2BF5}" name="PivotTable6"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B40:B41" firstHeaderRow="1" firstDataRow="1" firstDataCol="0" rowPageCount="3" colPageCount="1"/>
  <pivotFields count="57">
    <pivotField showAll="0"/>
    <pivotField axis="axisPage" multipleItemSelectionAllowed="1" showAll="0" defaultSubtotal="0">
      <items count="5">
        <item x="1"/>
        <item x="2"/>
        <item x="4"/>
        <item h="1" x="3"/>
        <item h="1" x="0"/>
      </items>
    </pivotField>
    <pivotField axis="axisPage" multipleItemSelectionAllowed="1" showAll="0">
      <items count="3">
        <item h="1" x="1"/>
        <item x="0"/>
        <item t="default"/>
      </items>
    </pivotField>
    <pivotField numFmtId="14" showAll="0"/>
    <pivotField numFmtId="14" showAll="0"/>
    <pivotField showAll="0" defaultSubtotal="0"/>
    <pivotField showAll="0" defaultSubtotal="0"/>
    <pivotField axis="axisPage" multipleItemSelectionAllowed="1" showAll="0">
      <items count="5">
        <item h="1" x="0"/>
        <item h="1"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showAll="0"/>
    <pivotField numFmtId="164" showAll="0"/>
    <pivotField numFmtId="164" showAll="0"/>
    <pivotField numFmtId="164" showAll="0"/>
    <pivotField numFmtId="164" showAll="0"/>
    <pivotField numFmtId="164" showAll="0"/>
    <pivotField numFmtId="164" showAll="0"/>
    <pivotField showAll="0"/>
    <pivotField showAll="0"/>
    <pivotField showAll="0"/>
    <pivotField showAll="0"/>
    <pivotField showAll="0"/>
    <pivotField numFmtId="1" showAll="0"/>
    <pivotField showAll="0"/>
    <pivotField showAll="0"/>
    <pivotField showAll="0"/>
  </pivotFields>
  <rowItems count="1">
    <i/>
  </rowItems>
  <colItems count="1">
    <i/>
  </colItems>
  <pageFields count="3">
    <pageField fld="1" hier="-1"/>
    <pageField fld="2" hier="-1"/>
    <pageField fld="7" hier="-1"/>
  </pageFields>
  <dataFields count="1">
    <dataField name="Sum of Net Dwellings" fld="40" baseField="0" baseItem="0"/>
  </dataFields>
  <formats count="28">
    <format dxfId="248">
      <pivotArea type="all" dataOnly="0" outline="0" fieldPosition="0"/>
    </format>
    <format dxfId="247">
      <pivotArea type="all" dataOnly="0" outline="0" fieldPosition="0"/>
    </format>
    <format dxfId="246">
      <pivotArea type="all" dataOnly="0" outline="0" fieldPosition="0"/>
    </format>
    <format dxfId="245">
      <pivotArea type="all" dataOnly="0" outline="0" fieldPosition="0"/>
    </format>
    <format dxfId="244">
      <pivotArea type="all" dataOnly="0" outline="0" fieldPosition="0"/>
    </format>
    <format dxfId="243">
      <pivotArea type="all" dataOnly="0" outline="0" fieldPosition="0"/>
    </format>
    <format dxfId="242">
      <pivotArea type="all" dataOnly="0" outline="0" fieldPosition="0"/>
    </format>
    <format dxfId="241">
      <pivotArea type="all" dataOnly="0" outline="0" fieldPosition="0"/>
    </format>
    <format dxfId="240">
      <pivotArea type="all" dataOnly="0" outline="0" fieldPosition="0"/>
    </format>
    <format dxfId="239">
      <pivotArea type="all" dataOnly="0" outline="0" fieldPosition="0"/>
    </format>
    <format dxfId="238">
      <pivotArea type="all" dataOnly="0" outline="0" fieldPosition="0"/>
    </format>
    <format dxfId="237">
      <pivotArea outline="0" collapsedLevelsAreSubtotals="1" fieldPosition="0"/>
    </format>
    <format dxfId="236">
      <pivotArea dataOnly="0" labelOnly="1" outline="0" axis="axisValues" fieldPosition="0"/>
    </format>
    <format dxfId="235">
      <pivotArea type="all" dataOnly="0" outline="0" fieldPosition="0"/>
    </format>
    <format dxfId="234">
      <pivotArea outline="0" collapsedLevelsAreSubtotals="1" fieldPosition="0"/>
    </format>
    <format dxfId="233">
      <pivotArea dataOnly="0" labelOnly="1" outline="0" axis="axisValues" fieldPosition="0"/>
    </format>
    <format dxfId="232">
      <pivotArea type="all" dataOnly="0" outline="0" fieldPosition="0"/>
    </format>
    <format dxfId="231">
      <pivotArea outline="0" collapsedLevelsAreSubtotals="1" fieldPosition="0"/>
    </format>
    <format dxfId="230">
      <pivotArea dataOnly="0" labelOnly="1" outline="0" axis="axisValues" fieldPosition="0"/>
    </format>
    <format dxfId="229">
      <pivotArea type="all" dataOnly="0" outline="0" fieldPosition="0"/>
    </format>
    <format dxfId="228">
      <pivotArea outline="0" collapsedLevelsAreSubtotals="1" fieldPosition="0"/>
    </format>
    <format dxfId="227">
      <pivotArea dataOnly="0" labelOnly="1" outline="0" axis="axisValues" fieldPosition="0"/>
    </format>
    <format dxfId="226">
      <pivotArea type="all" dataOnly="0" outline="0" fieldPosition="0"/>
    </format>
    <format dxfId="225">
      <pivotArea outline="0" collapsedLevelsAreSubtotals="1" fieldPosition="0"/>
    </format>
    <format dxfId="224">
      <pivotArea dataOnly="0" labelOnly="1" outline="0" axis="axisValues" fieldPosition="0"/>
    </format>
    <format dxfId="223">
      <pivotArea type="all" dataOnly="0" outline="0" fieldPosition="0"/>
    </format>
    <format dxfId="222">
      <pivotArea outline="0" collapsedLevelsAreSubtotals="1" fieldPosition="0"/>
    </format>
    <format dxfId="2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15FFA-2785-4FE3-8DD6-DBADF49D353B}">
  <sheetPr>
    <pageSetUpPr autoPageBreaks="0"/>
  </sheetPr>
  <dimension ref="A1:AB359"/>
  <sheetViews>
    <sheetView tabSelected="1" zoomScaleNormal="100" zoomScaleSheetLayoutView="130" zoomScalePageLayoutView="60" workbookViewId="0">
      <selection activeCell="B2" sqref="B2:S3"/>
    </sheetView>
  </sheetViews>
  <sheetFormatPr defaultRowHeight="12.75" x14ac:dyDescent="0.2"/>
  <cols>
    <col min="1" max="2" width="9.140625" style="8"/>
    <col min="3" max="5" width="9.7109375" style="8" customWidth="1"/>
    <col min="6" max="6" width="9.140625" style="8"/>
    <col min="7" max="7" width="9.42578125" style="8" customWidth="1"/>
    <col min="8" max="8" width="9.140625" style="8"/>
    <col min="9" max="9" width="9.140625" style="8" customWidth="1"/>
    <col min="10" max="12" width="9.140625" style="8"/>
    <col min="13" max="13" width="9.140625" style="8" customWidth="1"/>
    <col min="14" max="20" width="9.140625" style="8"/>
    <col min="21" max="22" width="9.140625" style="8" customWidth="1"/>
    <col min="23" max="16384" width="9.140625" style="8"/>
  </cols>
  <sheetData>
    <row r="1" spans="1:22" ht="23.25" customHeight="1" x14ac:dyDescent="0.2">
      <c r="A1" s="22"/>
      <c r="B1" s="133"/>
      <c r="C1" s="231"/>
      <c r="D1" s="132"/>
      <c r="E1" s="132"/>
      <c r="F1" s="132"/>
      <c r="G1" s="132"/>
      <c r="H1" s="132"/>
      <c r="I1" s="132"/>
      <c r="J1" s="132"/>
      <c r="K1" s="132"/>
      <c r="L1" s="132"/>
      <c r="M1" s="132"/>
      <c r="N1" s="132"/>
      <c r="O1" s="132"/>
      <c r="P1" s="132"/>
      <c r="Q1" s="132"/>
      <c r="R1" s="132"/>
      <c r="S1" s="239"/>
    </row>
    <row r="2" spans="1:22" ht="50.1" customHeight="1" x14ac:dyDescent="0.2">
      <c r="B2" s="367" t="s">
        <v>1605</v>
      </c>
      <c r="C2" s="368"/>
      <c r="D2" s="368"/>
      <c r="E2" s="368"/>
      <c r="F2" s="368"/>
      <c r="G2" s="368"/>
      <c r="H2" s="368"/>
      <c r="I2" s="368"/>
      <c r="J2" s="368"/>
      <c r="K2" s="368"/>
      <c r="L2" s="368"/>
      <c r="M2" s="368"/>
      <c r="N2" s="368"/>
      <c r="O2" s="368"/>
      <c r="P2" s="368"/>
      <c r="Q2" s="368"/>
      <c r="R2" s="368"/>
      <c r="S2" s="369"/>
    </row>
    <row r="3" spans="1:22" x14ac:dyDescent="0.2">
      <c r="B3" s="370"/>
      <c r="C3" s="371"/>
      <c r="D3" s="371"/>
      <c r="E3" s="371"/>
      <c r="F3" s="371"/>
      <c r="G3" s="371"/>
      <c r="H3" s="371"/>
      <c r="I3" s="371"/>
      <c r="J3" s="371"/>
      <c r="K3" s="371"/>
      <c r="L3" s="371"/>
      <c r="M3" s="371"/>
      <c r="N3" s="371"/>
      <c r="O3" s="371"/>
      <c r="P3" s="371"/>
      <c r="Q3" s="371"/>
      <c r="R3" s="371"/>
      <c r="S3" s="372"/>
    </row>
    <row r="4" spans="1:22" x14ac:dyDescent="0.2">
      <c r="B4" s="61"/>
      <c r="C4" s="171"/>
      <c r="D4" s="171"/>
      <c r="E4" s="171"/>
      <c r="F4" s="171"/>
      <c r="G4" s="171"/>
      <c r="H4" s="171"/>
      <c r="I4" s="171"/>
      <c r="J4" s="171"/>
      <c r="K4" s="171"/>
      <c r="L4" s="171"/>
      <c r="M4" s="171"/>
      <c r="N4" s="171"/>
      <c r="O4" s="171"/>
      <c r="P4" s="171"/>
      <c r="Q4" s="171"/>
      <c r="R4" s="171"/>
      <c r="S4" s="7"/>
    </row>
    <row r="5" spans="1:22" x14ac:dyDescent="0.2">
      <c r="B5" s="61"/>
      <c r="C5" s="172" t="s">
        <v>1118</v>
      </c>
      <c r="D5" s="172" t="s">
        <v>1119</v>
      </c>
      <c r="E5" s="173"/>
      <c r="F5" s="173"/>
      <c r="G5" s="173"/>
      <c r="H5" s="173"/>
      <c r="I5" s="173"/>
      <c r="J5" s="173"/>
      <c r="K5" s="173"/>
      <c r="L5" s="173"/>
      <c r="M5" s="173"/>
      <c r="N5" s="173"/>
      <c r="O5" s="171"/>
      <c r="P5" s="171"/>
      <c r="Q5" s="171"/>
      <c r="R5" s="171"/>
      <c r="S5" s="7"/>
    </row>
    <row r="6" spans="1:22" ht="22.5" customHeight="1" x14ac:dyDescent="0.2">
      <c r="B6" s="232"/>
      <c r="C6" s="350" t="s">
        <v>1120</v>
      </c>
      <c r="D6" s="353"/>
      <c r="E6" s="353"/>
      <c r="F6" s="347" t="s">
        <v>1121</v>
      </c>
      <c r="G6" s="348" t="s">
        <v>1239</v>
      </c>
      <c r="H6" s="349"/>
      <c r="I6" s="349"/>
      <c r="J6" s="349"/>
      <c r="K6" s="349"/>
      <c r="L6" s="349"/>
      <c r="M6" s="349"/>
      <c r="N6" s="349"/>
      <c r="O6" s="350"/>
      <c r="P6" s="347" t="s">
        <v>1122</v>
      </c>
      <c r="Q6" s="347" t="s">
        <v>1123</v>
      </c>
      <c r="R6" s="171"/>
      <c r="S6" s="7"/>
      <c r="T6" s="6"/>
    </row>
    <row r="7" spans="1:22" x14ac:dyDescent="0.2">
      <c r="B7" s="232"/>
      <c r="C7" s="350"/>
      <c r="D7" s="353"/>
      <c r="E7" s="353"/>
      <c r="F7" s="347"/>
      <c r="G7" s="168" t="s">
        <v>1124</v>
      </c>
      <c r="H7" s="168" t="s">
        <v>1125</v>
      </c>
      <c r="I7" s="168" t="s">
        <v>1126</v>
      </c>
      <c r="J7" s="168" t="s">
        <v>1127</v>
      </c>
      <c r="K7" s="168" t="s">
        <v>1128</v>
      </c>
      <c r="L7" s="168" t="s">
        <v>1129</v>
      </c>
      <c r="M7" s="168" t="s">
        <v>1130</v>
      </c>
      <c r="N7" s="168" t="s">
        <v>1131</v>
      </c>
      <c r="O7" s="168" t="s">
        <v>1237</v>
      </c>
      <c r="P7" s="347"/>
      <c r="Q7" s="347"/>
      <c r="R7" s="171"/>
      <c r="S7" s="7"/>
      <c r="T7" s="6"/>
    </row>
    <row r="8" spans="1:22" x14ac:dyDescent="0.2">
      <c r="B8" s="232"/>
      <c r="C8" s="351" t="s">
        <v>1132</v>
      </c>
      <c r="D8" s="352"/>
      <c r="E8" s="352"/>
      <c r="F8" s="115">
        <v>2450</v>
      </c>
      <c r="G8" s="115">
        <v>208</v>
      </c>
      <c r="H8" s="116">
        <v>695</v>
      </c>
      <c r="I8" s="117">
        <v>235</v>
      </c>
      <c r="J8" s="115">
        <v>304</v>
      </c>
      <c r="K8" s="115">
        <v>491</v>
      </c>
      <c r="L8" s="115">
        <v>460</v>
      </c>
      <c r="M8" s="115">
        <v>382</v>
      </c>
      <c r="N8" s="115">
        <v>419</v>
      </c>
      <c r="O8" s="115">
        <f>GETPIVOTDATA("NET DWELLINGS",Pivot!$B$6)</f>
        <v>331</v>
      </c>
      <c r="P8" s="115">
        <f>SUM(G8:O8)</f>
        <v>3525</v>
      </c>
      <c r="Q8" s="118">
        <f>P8/F8</f>
        <v>1.4387755102040816</v>
      </c>
      <c r="R8" s="171"/>
      <c r="S8" s="7"/>
      <c r="T8" s="6"/>
    </row>
    <row r="9" spans="1:22" ht="12.75" customHeight="1" x14ac:dyDescent="0.2">
      <c r="B9" s="61"/>
      <c r="C9" s="177"/>
      <c r="D9" s="177"/>
      <c r="E9" s="177"/>
      <c r="F9" s="174"/>
      <c r="G9" s="174"/>
      <c r="H9" s="175"/>
      <c r="I9" s="176"/>
      <c r="J9" s="174"/>
      <c r="K9" s="174"/>
      <c r="L9" s="174"/>
      <c r="M9" s="174"/>
      <c r="N9" s="174"/>
      <c r="O9" s="178"/>
      <c r="P9" s="171"/>
      <c r="Q9" s="171"/>
      <c r="R9" s="171"/>
      <c r="S9" s="7"/>
      <c r="T9" s="6"/>
    </row>
    <row r="10" spans="1:22" ht="12.75" customHeight="1" x14ac:dyDescent="0.2">
      <c r="B10" s="61"/>
      <c r="C10" s="179"/>
      <c r="D10" s="171"/>
      <c r="E10" s="171"/>
      <c r="F10" s="171"/>
      <c r="G10" s="171"/>
      <c r="H10" s="171"/>
      <c r="I10" s="171"/>
      <c r="J10" s="171"/>
      <c r="K10" s="171"/>
      <c r="L10" s="171"/>
      <c r="M10" s="171"/>
      <c r="N10" s="171"/>
      <c r="O10" s="171"/>
      <c r="P10" s="171"/>
      <c r="Q10" s="171"/>
      <c r="R10" s="171"/>
      <c r="S10" s="7"/>
    </row>
    <row r="11" spans="1:22" x14ac:dyDescent="0.2">
      <c r="B11" s="61"/>
      <c r="C11" s="172" t="s">
        <v>1164</v>
      </c>
      <c r="D11" s="172" t="s">
        <v>1133</v>
      </c>
      <c r="E11" s="173"/>
      <c r="F11" s="173"/>
      <c r="G11" s="173"/>
      <c r="H11" s="173"/>
      <c r="I11" s="173"/>
      <c r="J11" s="173"/>
      <c r="K11" s="171"/>
      <c r="L11" s="171"/>
      <c r="M11" s="171"/>
      <c r="N11" s="171"/>
      <c r="O11" s="171"/>
      <c r="P11" s="171"/>
      <c r="Q11" s="171"/>
      <c r="R11" s="171"/>
      <c r="S11" s="7"/>
    </row>
    <row r="12" spans="1:22" ht="21.95" customHeight="1" x14ac:dyDescent="0.2">
      <c r="B12" s="232"/>
      <c r="C12" s="350" t="s">
        <v>1120</v>
      </c>
      <c r="D12" s="353"/>
      <c r="E12" s="353"/>
      <c r="F12" s="347" t="s">
        <v>1121</v>
      </c>
      <c r="G12" s="348" t="s">
        <v>1240</v>
      </c>
      <c r="H12" s="349"/>
      <c r="I12" s="349"/>
      <c r="J12" s="349"/>
      <c r="K12" s="350"/>
      <c r="L12" s="347" t="s">
        <v>1122</v>
      </c>
      <c r="M12" s="347" t="s">
        <v>1123</v>
      </c>
      <c r="N12" s="171"/>
      <c r="O12" s="171"/>
      <c r="P12" s="171"/>
      <c r="Q12" s="171"/>
      <c r="R12" s="171"/>
      <c r="S12" s="7"/>
    </row>
    <row r="13" spans="1:22" x14ac:dyDescent="0.2">
      <c r="B13" s="232"/>
      <c r="C13" s="350"/>
      <c r="D13" s="353"/>
      <c r="E13" s="353"/>
      <c r="F13" s="347"/>
      <c r="G13" s="145" t="s">
        <v>1128</v>
      </c>
      <c r="H13" s="145" t="s">
        <v>1129</v>
      </c>
      <c r="I13" s="167" t="s">
        <v>1130</v>
      </c>
      <c r="J13" s="167" t="s">
        <v>1131</v>
      </c>
      <c r="K13" s="167" t="s">
        <v>1237</v>
      </c>
      <c r="L13" s="347"/>
      <c r="M13" s="347"/>
      <c r="N13" s="171"/>
      <c r="O13" s="171"/>
      <c r="P13" s="171"/>
      <c r="Q13" s="171"/>
      <c r="R13" s="171"/>
      <c r="S13" s="7"/>
    </row>
    <row r="14" spans="1:22" x14ac:dyDescent="0.2">
      <c r="B14" s="232"/>
      <c r="C14" s="351" t="s">
        <v>1132</v>
      </c>
      <c r="D14" s="352"/>
      <c r="E14" s="352"/>
      <c r="F14" s="115">
        <v>3150</v>
      </c>
      <c r="G14" s="115">
        <v>491</v>
      </c>
      <c r="H14" s="115">
        <v>460</v>
      </c>
      <c r="I14" s="115">
        <v>382</v>
      </c>
      <c r="J14" s="115">
        <v>419</v>
      </c>
      <c r="K14" s="115">
        <f>GETPIVOTDATA("NET DWELLINGS",Pivot!$B$6)</f>
        <v>331</v>
      </c>
      <c r="L14" s="115">
        <f>SUM(G14:K14)</f>
        <v>2083</v>
      </c>
      <c r="M14" s="118">
        <f>L14/F14</f>
        <v>0.66126984126984123</v>
      </c>
      <c r="N14" s="171"/>
      <c r="O14" s="171"/>
      <c r="P14" s="171"/>
      <c r="Q14" s="171"/>
      <c r="R14" s="171"/>
      <c r="S14" s="7"/>
      <c r="V14" s="6"/>
    </row>
    <row r="15" spans="1:22" ht="22.5" customHeight="1" x14ac:dyDescent="0.2">
      <c r="B15" s="61"/>
      <c r="C15" s="220"/>
      <c r="D15" s="180"/>
      <c r="E15" s="171"/>
      <c r="F15" s="171"/>
      <c r="G15" s="171"/>
      <c r="H15" s="171"/>
      <c r="I15" s="171"/>
      <c r="J15" s="171"/>
      <c r="K15" s="171"/>
      <c r="L15" s="171"/>
      <c r="M15" s="171"/>
      <c r="N15" s="171"/>
      <c r="O15" s="171"/>
      <c r="P15" s="171"/>
      <c r="Q15" s="171"/>
      <c r="R15" s="171"/>
      <c r="S15" s="7"/>
    </row>
    <row r="16" spans="1:22" x14ac:dyDescent="0.2">
      <c r="B16" s="61"/>
      <c r="C16" s="172" t="s">
        <v>1172</v>
      </c>
      <c r="D16" s="172" t="s">
        <v>1321</v>
      </c>
      <c r="E16" s="173"/>
      <c r="F16" s="173"/>
      <c r="G16" s="173"/>
      <c r="H16" s="173"/>
      <c r="I16" s="173"/>
      <c r="J16" s="173"/>
      <c r="K16" s="173"/>
      <c r="L16" s="173"/>
      <c r="M16" s="173"/>
      <c r="N16" s="181"/>
      <c r="O16" s="181"/>
      <c r="P16" s="171"/>
      <c r="Q16" s="171"/>
      <c r="R16" s="171"/>
      <c r="S16" s="7"/>
    </row>
    <row r="17" spans="2:25" ht="15" x14ac:dyDescent="0.25">
      <c r="B17" s="232"/>
      <c r="C17" s="345"/>
      <c r="D17" s="346"/>
      <c r="E17" s="346"/>
      <c r="F17" s="346"/>
      <c r="G17" s="346"/>
      <c r="H17" s="346"/>
      <c r="I17" s="346"/>
      <c r="J17" s="346"/>
      <c r="K17" s="346"/>
      <c r="L17" s="346"/>
      <c r="M17" s="346"/>
      <c r="N17" s="181"/>
      <c r="O17" s="171"/>
      <c r="P17" s="171"/>
      <c r="Q17" s="171"/>
      <c r="R17" s="171"/>
      <c r="S17" s="7"/>
      <c r="U17" s="32"/>
      <c r="V17" s="23"/>
    </row>
    <row r="18" spans="2:25" x14ac:dyDescent="0.2">
      <c r="B18" s="232"/>
      <c r="C18" s="221" t="s">
        <v>1134</v>
      </c>
      <c r="D18" s="332" t="s">
        <v>1135</v>
      </c>
      <c r="E18" s="332"/>
      <c r="F18" s="332"/>
      <c r="G18" s="332"/>
      <c r="H18" s="332"/>
      <c r="I18" s="332"/>
      <c r="J18" s="332"/>
      <c r="K18" s="332"/>
      <c r="L18" s="332"/>
      <c r="M18" s="119">
        <v>3150</v>
      </c>
      <c r="N18" s="171"/>
      <c r="O18" s="171"/>
      <c r="P18" s="171"/>
      <c r="Q18" s="171"/>
      <c r="R18" s="171"/>
      <c r="S18" s="7"/>
    </row>
    <row r="19" spans="2:25" ht="12.75" customHeight="1" x14ac:dyDescent="0.25">
      <c r="B19" s="232"/>
      <c r="C19" s="221" t="s">
        <v>1136</v>
      </c>
      <c r="D19" s="332" t="s">
        <v>1246</v>
      </c>
      <c r="E19" s="332"/>
      <c r="F19" s="332"/>
      <c r="G19" s="332"/>
      <c r="H19" s="332"/>
      <c r="I19" s="332"/>
      <c r="J19" s="332"/>
      <c r="K19" s="332"/>
      <c r="L19" s="332"/>
      <c r="M19" s="120">
        <f>K8+L8+M8+N8+O8</f>
        <v>2083</v>
      </c>
      <c r="N19" s="171"/>
      <c r="O19" s="171"/>
      <c r="P19" s="171"/>
      <c r="Q19" s="171"/>
      <c r="R19" s="171"/>
      <c r="S19" s="7"/>
      <c r="U19" s="24"/>
      <c r="V19" s="24"/>
    </row>
    <row r="20" spans="2:25" x14ac:dyDescent="0.2">
      <c r="B20" s="232"/>
      <c r="C20" s="221" t="s">
        <v>1137</v>
      </c>
      <c r="D20" s="332" t="s">
        <v>1242</v>
      </c>
      <c r="E20" s="332"/>
      <c r="F20" s="332"/>
      <c r="G20" s="332"/>
      <c r="H20" s="332"/>
      <c r="I20" s="332"/>
      <c r="J20" s="332"/>
      <c r="K20" s="333" t="s">
        <v>1138</v>
      </c>
      <c r="L20" s="333"/>
      <c r="M20" s="120">
        <f>M18-M19</f>
        <v>1067</v>
      </c>
      <c r="N20" s="171"/>
      <c r="O20" s="171"/>
      <c r="P20" s="171"/>
      <c r="Q20" s="171"/>
      <c r="R20" s="171"/>
      <c r="S20" s="7"/>
    </row>
    <row r="21" spans="2:25" x14ac:dyDescent="0.2">
      <c r="B21" s="232"/>
      <c r="C21" s="221" t="s">
        <v>1139</v>
      </c>
      <c r="D21" s="332" t="s">
        <v>1140</v>
      </c>
      <c r="E21" s="332"/>
      <c r="F21" s="332"/>
      <c r="G21" s="332"/>
      <c r="H21" s="332"/>
      <c r="I21" s="332"/>
      <c r="J21" s="332"/>
      <c r="K21" s="333" t="s">
        <v>1243</v>
      </c>
      <c r="L21" s="333"/>
      <c r="M21" s="120">
        <f>M20/5</f>
        <v>213.4</v>
      </c>
      <c r="N21" s="171"/>
      <c r="O21" s="171"/>
      <c r="P21" s="171"/>
      <c r="Q21" s="171"/>
      <c r="R21" s="171"/>
      <c r="S21" s="7"/>
    </row>
    <row r="22" spans="2:25" x14ac:dyDescent="0.2">
      <c r="B22" s="232"/>
      <c r="C22" s="221" t="s">
        <v>1141</v>
      </c>
      <c r="D22" s="332" t="s">
        <v>1142</v>
      </c>
      <c r="E22" s="332"/>
      <c r="F22" s="332"/>
      <c r="G22" s="332"/>
      <c r="H22" s="332"/>
      <c r="I22" s="332"/>
      <c r="J22" s="332"/>
      <c r="K22" s="333" t="s">
        <v>1143</v>
      </c>
      <c r="L22" s="333"/>
      <c r="M22" s="120">
        <f>M21*5</f>
        <v>1067</v>
      </c>
      <c r="N22" s="171"/>
      <c r="O22" s="171"/>
      <c r="P22" s="171"/>
      <c r="Q22" s="171"/>
      <c r="R22" s="171"/>
      <c r="S22" s="7"/>
    </row>
    <row r="23" spans="2:25" x14ac:dyDescent="0.2">
      <c r="B23" s="232"/>
      <c r="C23" s="221" t="s">
        <v>1144</v>
      </c>
      <c r="D23" s="332" t="s">
        <v>1145</v>
      </c>
      <c r="E23" s="332"/>
      <c r="F23" s="332"/>
      <c r="G23" s="332"/>
      <c r="H23" s="332"/>
      <c r="I23" s="332"/>
      <c r="J23" s="332"/>
      <c r="K23" s="333" t="s">
        <v>1146</v>
      </c>
      <c r="L23" s="333"/>
      <c r="M23" s="120">
        <f>M22*0.05</f>
        <v>53.35</v>
      </c>
      <c r="N23" s="171"/>
      <c r="O23" s="171"/>
      <c r="P23" s="171"/>
      <c r="Q23" s="171"/>
      <c r="R23" s="171"/>
      <c r="S23" s="7"/>
      <c r="W23" s="22"/>
      <c r="X23" s="22"/>
      <c r="Y23" s="22"/>
    </row>
    <row r="24" spans="2:25" x14ac:dyDescent="0.2">
      <c r="B24" s="232"/>
      <c r="C24" s="221" t="s">
        <v>1147</v>
      </c>
      <c r="D24" s="332" t="s">
        <v>1148</v>
      </c>
      <c r="E24" s="332"/>
      <c r="F24" s="332"/>
      <c r="G24" s="332"/>
      <c r="H24" s="332"/>
      <c r="I24" s="332"/>
      <c r="J24" s="332"/>
      <c r="K24" s="333" t="s">
        <v>1149</v>
      </c>
      <c r="L24" s="333"/>
      <c r="M24" s="120">
        <f>M22+M23</f>
        <v>1120.3499999999999</v>
      </c>
      <c r="N24" s="171"/>
      <c r="O24" s="171"/>
      <c r="P24" s="171"/>
      <c r="Q24" s="171"/>
      <c r="R24" s="171"/>
      <c r="S24" s="7"/>
      <c r="W24" s="22"/>
      <c r="X24" s="22"/>
      <c r="Y24" s="22"/>
    </row>
    <row r="25" spans="2:25" x14ac:dyDescent="0.2">
      <c r="B25" s="232"/>
      <c r="C25" s="221" t="s">
        <v>1150</v>
      </c>
      <c r="D25" s="332" t="s">
        <v>1151</v>
      </c>
      <c r="E25" s="332"/>
      <c r="F25" s="332"/>
      <c r="G25" s="332"/>
      <c r="H25" s="332"/>
      <c r="I25" s="332"/>
      <c r="J25" s="332"/>
      <c r="K25" s="333"/>
      <c r="L25" s="333"/>
      <c r="M25" s="119">
        <f>I53</f>
        <v>2219</v>
      </c>
      <c r="N25" s="171"/>
      <c r="O25" s="171"/>
      <c r="P25" s="171"/>
      <c r="Q25" s="171"/>
      <c r="R25" s="171"/>
      <c r="S25" s="7"/>
      <c r="W25" s="22"/>
      <c r="X25" s="22"/>
      <c r="Y25" s="22"/>
    </row>
    <row r="26" spans="2:25" x14ac:dyDescent="0.2">
      <c r="B26" s="232"/>
      <c r="C26" s="221" t="s">
        <v>1152</v>
      </c>
      <c r="D26" s="332" t="s">
        <v>1309</v>
      </c>
      <c r="E26" s="332"/>
      <c r="F26" s="332"/>
      <c r="G26" s="332"/>
      <c r="H26" s="332"/>
      <c r="I26" s="332"/>
      <c r="J26" s="332"/>
      <c r="K26" s="333" t="s">
        <v>1153</v>
      </c>
      <c r="L26" s="333"/>
      <c r="M26" s="121">
        <f>M25/M24</f>
        <v>1.9806310527960014</v>
      </c>
      <c r="N26" s="171"/>
      <c r="O26" s="171"/>
      <c r="P26" s="171"/>
      <c r="Q26" s="171"/>
      <c r="R26" s="171"/>
      <c r="S26" s="7"/>
      <c r="W26" s="22"/>
      <c r="X26" s="22"/>
      <c r="Y26" s="22"/>
    </row>
    <row r="27" spans="2:25" x14ac:dyDescent="0.2">
      <c r="B27" s="232"/>
      <c r="C27" s="221" t="s">
        <v>1154</v>
      </c>
      <c r="D27" s="332" t="s">
        <v>1329</v>
      </c>
      <c r="E27" s="332"/>
      <c r="F27" s="332"/>
      <c r="G27" s="332"/>
      <c r="H27" s="332"/>
      <c r="I27" s="332"/>
      <c r="J27" s="332"/>
      <c r="K27" s="333" t="s">
        <v>1155</v>
      </c>
      <c r="L27" s="333"/>
      <c r="M27" s="122">
        <f>M25/M21</f>
        <v>10.398313027179006</v>
      </c>
      <c r="N27" s="171"/>
      <c r="O27" s="171"/>
      <c r="P27" s="171"/>
      <c r="Q27" s="171"/>
      <c r="R27" s="171"/>
      <c r="S27" s="7"/>
      <c r="W27" s="22"/>
      <c r="X27" s="22"/>
      <c r="Y27" s="22"/>
    </row>
    <row r="28" spans="2:25" x14ac:dyDescent="0.2">
      <c r="B28" s="61"/>
      <c r="C28" s="182"/>
      <c r="D28" s="183"/>
      <c r="E28" s="183"/>
      <c r="F28" s="183"/>
      <c r="G28" s="183"/>
      <c r="H28" s="183"/>
      <c r="I28" s="183"/>
      <c r="J28" s="183"/>
      <c r="K28" s="182"/>
      <c r="L28" s="182"/>
      <c r="M28" s="184"/>
      <c r="N28" s="171"/>
      <c r="O28" s="171"/>
      <c r="P28" s="171"/>
      <c r="Q28" s="171"/>
      <c r="R28" s="171"/>
      <c r="S28" s="7"/>
      <c r="W28" s="22"/>
      <c r="X28" s="22"/>
      <c r="Y28" s="22"/>
    </row>
    <row r="29" spans="2:25" x14ac:dyDescent="0.2">
      <c r="B29" s="61"/>
      <c r="C29" s="182"/>
      <c r="D29" s="183"/>
      <c r="E29" s="183"/>
      <c r="F29" s="183"/>
      <c r="G29" s="183"/>
      <c r="H29" s="183"/>
      <c r="I29" s="183"/>
      <c r="J29" s="183"/>
      <c r="K29" s="182"/>
      <c r="L29" s="182"/>
      <c r="M29" s="184"/>
      <c r="N29" s="171"/>
      <c r="O29" s="171"/>
      <c r="P29" s="171"/>
      <c r="Q29" s="171"/>
      <c r="R29" s="171"/>
      <c r="S29" s="7"/>
      <c r="W29" s="22"/>
      <c r="X29" s="22"/>
      <c r="Y29" s="22"/>
    </row>
    <row r="30" spans="2:25" ht="12.75" customHeight="1" x14ac:dyDescent="0.2">
      <c r="B30" s="61"/>
      <c r="C30" s="172" t="s">
        <v>1175</v>
      </c>
      <c r="D30" s="172" t="s">
        <v>1359</v>
      </c>
      <c r="E30" s="173"/>
      <c r="F30" s="173"/>
      <c r="G30" s="173"/>
      <c r="H30" s="173"/>
      <c r="I30" s="173"/>
      <c r="J30" s="173"/>
      <c r="K30" s="173"/>
      <c r="L30" s="173"/>
      <c r="M30" s="173"/>
      <c r="N30" s="171"/>
      <c r="O30" s="171"/>
      <c r="P30" s="171"/>
      <c r="Q30" s="171"/>
      <c r="R30" s="171"/>
      <c r="S30" s="7"/>
      <c r="U30" s="22"/>
      <c r="V30" s="22"/>
      <c r="W30" s="22"/>
      <c r="X30" s="22"/>
      <c r="Y30" s="22"/>
    </row>
    <row r="31" spans="2:25" ht="12.75" customHeight="1" x14ac:dyDescent="0.2">
      <c r="B31" s="232"/>
      <c r="C31" s="345"/>
      <c r="D31" s="346"/>
      <c r="E31" s="346"/>
      <c r="F31" s="346"/>
      <c r="G31" s="346"/>
      <c r="H31" s="346"/>
      <c r="I31" s="346"/>
      <c r="J31" s="346"/>
      <c r="K31" s="346"/>
      <c r="L31" s="346"/>
      <c r="M31" s="346"/>
      <c r="N31" s="171"/>
      <c r="O31" s="171"/>
      <c r="P31" s="171"/>
      <c r="Q31" s="171"/>
      <c r="R31" s="171"/>
      <c r="S31" s="7"/>
      <c r="U31" s="22"/>
      <c r="V31" s="22"/>
      <c r="W31" s="22"/>
      <c r="X31" s="22"/>
      <c r="Y31" s="22"/>
    </row>
    <row r="32" spans="2:25" ht="12.75" customHeight="1" x14ac:dyDescent="0.2">
      <c r="B32" s="232"/>
      <c r="C32" s="221" t="s">
        <v>1134</v>
      </c>
      <c r="D32" s="332" t="s">
        <v>1354</v>
      </c>
      <c r="E32" s="332"/>
      <c r="F32" s="332"/>
      <c r="G32" s="332"/>
      <c r="H32" s="332"/>
      <c r="I32" s="332"/>
      <c r="J32" s="332"/>
      <c r="K32" s="332"/>
      <c r="L32" s="332"/>
      <c r="M32" s="119">
        <v>4110</v>
      </c>
      <c r="N32" s="171"/>
      <c r="O32" s="171"/>
      <c r="P32" s="171"/>
      <c r="Q32" s="171"/>
      <c r="R32" s="171"/>
      <c r="S32" s="7"/>
      <c r="U32" s="22"/>
      <c r="V32" s="22"/>
      <c r="W32" s="22"/>
      <c r="X32" s="22"/>
      <c r="Y32" s="22"/>
    </row>
    <row r="33" spans="2:25" ht="12.75" customHeight="1" x14ac:dyDescent="0.2">
      <c r="B33" s="232"/>
      <c r="C33" s="221" t="s">
        <v>1136</v>
      </c>
      <c r="D33" s="332" t="s">
        <v>1358</v>
      </c>
      <c r="E33" s="332"/>
      <c r="F33" s="332"/>
      <c r="G33" s="332"/>
      <c r="H33" s="332"/>
      <c r="I33" s="332"/>
      <c r="J33" s="332"/>
      <c r="K33" s="332"/>
      <c r="L33" s="332"/>
      <c r="M33" s="119">
        <f>O8</f>
        <v>331</v>
      </c>
      <c r="N33" s="171"/>
      <c r="O33" s="171"/>
      <c r="P33" s="171"/>
      <c r="Q33" s="171"/>
      <c r="R33" s="171"/>
      <c r="S33" s="7"/>
      <c r="U33" s="22"/>
      <c r="V33" s="22"/>
      <c r="W33" s="22"/>
      <c r="X33" s="22"/>
      <c r="Y33" s="22"/>
    </row>
    <row r="34" spans="2:25" ht="12.75" customHeight="1" x14ac:dyDescent="0.2">
      <c r="B34" s="232"/>
      <c r="C34" s="221" t="s">
        <v>1137</v>
      </c>
      <c r="D34" s="332" t="s">
        <v>1328</v>
      </c>
      <c r="E34" s="332"/>
      <c r="F34" s="332"/>
      <c r="G34" s="332"/>
      <c r="H34" s="332"/>
      <c r="I34" s="332"/>
      <c r="J34" s="332"/>
      <c r="K34" s="333" t="s">
        <v>1138</v>
      </c>
      <c r="L34" s="333"/>
      <c r="M34" s="120">
        <f>M32-M33</f>
        <v>3779</v>
      </c>
      <c r="N34" s="171"/>
      <c r="O34" s="171"/>
      <c r="P34" s="171"/>
      <c r="Q34" s="171"/>
      <c r="R34" s="171"/>
      <c r="S34" s="7"/>
      <c r="U34" s="22"/>
      <c r="V34" s="22"/>
      <c r="W34" s="22"/>
      <c r="X34" s="22"/>
      <c r="Y34" s="22"/>
    </row>
    <row r="35" spans="2:25" ht="12.75" customHeight="1" x14ac:dyDescent="0.2">
      <c r="B35" s="232"/>
      <c r="C35" s="221" t="s">
        <v>1139</v>
      </c>
      <c r="D35" s="332" t="s">
        <v>1140</v>
      </c>
      <c r="E35" s="332"/>
      <c r="F35" s="332"/>
      <c r="G35" s="332"/>
      <c r="H35" s="332"/>
      <c r="I35" s="332"/>
      <c r="J35" s="332"/>
      <c r="K35" s="333" t="s">
        <v>1327</v>
      </c>
      <c r="L35" s="333"/>
      <c r="M35" s="120">
        <f>M34/9</f>
        <v>419.88888888888891</v>
      </c>
      <c r="N35" s="171"/>
      <c r="O35" s="171"/>
      <c r="P35" s="171"/>
      <c r="Q35" s="171"/>
      <c r="R35" s="171"/>
      <c r="S35" s="7"/>
      <c r="U35" s="22"/>
      <c r="V35" s="22"/>
      <c r="W35" s="22"/>
      <c r="X35" s="22"/>
      <c r="Y35" s="22"/>
    </row>
    <row r="36" spans="2:25" ht="12.75" customHeight="1" x14ac:dyDescent="0.2">
      <c r="B36" s="232"/>
      <c r="C36" s="221" t="s">
        <v>1141</v>
      </c>
      <c r="D36" s="332" t="s">
        <v>1142</v>
      </c>
      <c r="E36" s="332"/>
      <c r="F36" s="332"/>
      <c r="G36" s="332"/>
      <c r="H36" s="332"/>
      <c r="I36" s="332"/>
      <c r="J36" s="332"/>
      <c r="K36" s="333" t="s">
        <v>1143</v>
      </c>
      <c r="L36" s="333"/>
      <c r="M36" s="120">
        <f>M35*5</f>
        <v>2099.4444444444443</v>
      </c>
      <c r="N36" s="171"/>
      <c r="O36" s="171"/>
      <c r="P36" s="171"/>
      <c r="Q36" s="171"/>
      <c r="R36" s="171"/>
      <c r="S36" s="7"/>
      <c r="U36" s="22"/>
      <c r="V36" s="22"/>
      <c r="W36" s="22"/>
      <c r="X36" s="22"/>
      <c r="Y36" s="22"/>
    </row>
    <row r="37" spans="2:25" ht="12.75" customHeight="1" x14ac:dyDescent="0.2">
      <c r="B37" s="232"/>
      <c r="C37" s="221" t="s">
        <v>1144</v>
      </c>
      <c r="D37" s="332" t="s">
        <v>1145</v>
      </c>
      <c r="E37" s="332"/>
      <c r="F37" s="332"/>
      <c r="G37" s="332"/>
      <c r="H37" s="332"/>
      <c r="I37" s="332"/>
      <c r="J37" s="332"/>
      <c r="K37" s="333" t="s">
        <v>1146</v>
      </c>
      <c r="L37" s="333"/>
      <c r="M37" s="120">
        <f>M36*0.05</f>
        <v>104.97222222222223</v>
      </c>
      <c r="N37" s="171"/>
      <c r="O37" s="171"/>
      <c r="P37" s="171"/>
      <c r="Q37" s="171"/>
      <c r="R37" s="171"/>
      <c r="S37" s="7"/>
      <c r="U37" s="22"/>
      <c r="V37" s="22"/>
      <c r="W37" s="22"/>
      <c r="X37" s="22"/>
      <c r="Y37" s="22"/>
    </row>
    <row r="38" spans="2:25" ht="12.75" customHeight="1" x14ac:dyDescent="0.2">
      <c r="B38" s="232"/>
      <c r="C38" s="221" t="s">
        <v>1147</v>
      </c>
      <c r="D38" s="332" t="s">
        <v>1148</v>
      </c>
      <c r="E38" s="332"/>
      <c r="F38" s="332"/>
      <c r="G38" s="332"/>
      <c r="H38" s="332"/>
      <c r="I38" s="332"/>
      <c r="J38" s="332"/>
      <c r="K38" s="333" t="s">
        <v>1149</v>
      </c>
      <c r="L38" s="333"/>
      <c r="M38" s="120">
        <f>M36+M37</f>
        <v>2204.4166666666665</v>
      </c>
      <c r="N38" s="171"/>
      <c r="O38" s="171"/>
      <c r="P38" s="171"/>
      <c r="Q38" s="171"/>
      <c r="R38" s="171"/>
      <c r="S38" s="7"/>
      <c r="U38" s="22"/>
      <c r="V38" s="22"/>
      <c r="W38" s="22"/>
      <c r="X38" s="22"/>
      <c r="Y38" s="22"/>
    </row>
    <row r="39" spans="2:25" ht="12.75" customHeight="1" x14ac:dyDescent="0.2">
      <c r="B39" s="232"/>
      <c r="C39" s="221" t="s">
        <v>1150</v>
      </c>
      <c r="D39" s="332" t="s">
        <v>1151</v>
      </c>
      <c r="E39" s="332"/>
      <c r="F39" s="332"/>
      <c r="G39" s="332"/>
      <c r="H39" s="332"/>
      <c r="I39" s="332"/>
      <c r="J39" s="332"/>
      <c r="K39" s="333"/>
      <c r="L39" s="333"/>
      <c r="M39" s="119">
        <f>I53</f>
        <v>2219</v>
      </c>
      <c r="N39" s="171"/>
      <c r="O39" s="171"/>
      <c r="P39" s="171"/>
      <c r="Q39" s="171"/>
      <c r="R39" s="171"/>
      <c r="S39" s="7"/>
      <c r="U39" s="22"/>
      <c r="V39" s="22"/>
      <c r="W39" s="22"/>
      <c r="X39" s="22"/>
      <c r="Y39" s="22"/>
    </row>
    <row r="40" spans="2:25" ht="12.75" customHeight="1" x14ac:dyDescent="0.2">
      <c r="B40" s="232"/>
      <c r="C40" s="221" t="s">
        <v>1152</v>
      </c>
      <c r="D40" s="332" t="s">
        <v>1309</v>
      </c>
      <c r="E40" s="332"/>
      <c r="F40" s="332"/>
      <c r="G40" s="332"/>
      <c r="H40" s="332"/>
      <c r="I40" s="332"/>
      <c r="J40" s="332"/>
      <c r="K40" s="333" t="s">
        <v>1153</v>
      </c>
      <c r="L40" s="333"/>
      <c r="M40" s="121">
        <f>M39/M38</f>
        <v>1.0066155067478169</v>
      </c>
      <c r="N40" s="171"/>
      <c r="O40" s="171"/>
      <c r="P40" s="171"/>
      <c r="Q40" s="171"/>
      <c r="R40" s="171"/>
      <c r="S40" s="7"/>
      <c r="U40" s="22"/>
      <c r="V40" s="22"/>
      <c r="W40" s="22"/>
      <c r="X40" s="22"/>
      <c r="Y40" s="22"/>
    </row>
    <row r="41" spans="2:25" ht="12.75" customHeight="1" x14ac:dyDescent="0.2">
      <c r="B41" s="232"/>
      <c r="C41" s="221" t="s">
        <v>1154</v>
      </c>
      <c r="D41" s="332" t="s">
        <v>1329</v>
      </c>
      <c r="E41" s="332"/>
      <c r="F41" s="332"/>
      <c r="G41" s="332"/>
      <c r="H41" s="332"/>
      <c r="I41" s="332"/>
      <c r="J41" s="332"/>
      <c r="K41" s="333" t="s">
        <v>1155</v>
      </c>
      <c r="L41" s="333"/>
      <c r="M41" s="122">
        <f>M39/M35</f>
        <v>5.2847314104260379</v>
      </c>
      <c r="N41" s="171"/>
      <c r="O41" s="171"/>
      <c r="P41" s="171"/>
      <c r="Q41" s="171"/>
      <c r="R41" s="171"/>
      <c r="S41" s="7"/>
      <c r="U41" s="22"/>
      <c r="V41" s="22"/>
      <c r="W41" s="22"/>
      <c r="X41" s="22"/>
      <c r="Y41" s="22"/>
    </row>
    <row r="42" spans="2:25" ht="12.75" customHeight="1" x14ac:dyDescent="0.2">
      <c r="B42" s="70"/>
      <c r="C42" s="234"/>
      <c r="D42" s="235"/>
      <c r="E42" s="235"/>
      <c r="F42" s="235"/>
      <c r="G42" s="235"/>
      <c r="H42" s="235"/>
      <c r="I42" s="235"/>
      <c r="J42" s="235"/>
      <c r="K42" s="234"/>
      <c r="L42" s="234"/>
      <c r="M42" s="236"/>
      <c r="N42" s="237"/>
      <c r="O42" s="237"/>
      <c r="P42" s="237"/>
      <c r="Q42" s="237"/>
      <c r="R42" s="237"/>
      <c r="S42" s="238"/>
      <c r="U42" s="22"/>
      <c r="V42" s="22"/>
      <c r="W42" s="22"/>
      <c r="X42" s="22"/>
      <c r="Y42" s="22"/>
    </row>
    <row r="43" spans="2:25" ht="12.75" customHeight="1" x14ac:dyDescent="0.2">
      <c r="B43" s="230"/>
      <c r="C43" s="240"/>
      <c r="D43" s="241"/>
      <c r="E43" s="241"/>
      <c r="F43" s="241"/>
      <c r="G43" s="241"/>
      <c r="H43" s="241"/>
      <c r="I43" s="241"/>
      <c r="J43" s="241"/>
      <c r="K43" s="240"/>
      <c r="L43" s="240"/>
      <c r="M43" s="242"/>
      <c r="N43" s="4"/>
      <c r="O43" s="4"/>
      <c r="P43" s="4"/>
      <c r="Q43" s="4"/>
      <c r="R43" s="4"/>
      <c r="S43" s="5"/>
      <c r="U43" s="22"/>
      <c r="V43" s="22"/>
      <c r="W43" s="22"/>
      <c r="X43" s="22"/>
      <c r="Y43" s="22"/>
    </row>
    <row r="44" spans="2:25" ht="12.75" customHeight="1" x14ac:dyDescent="0.2">
      <c r="B44" s="61"/>
      <c r="C44" s="182"/>
      <c r="D44" s="183"/>
      <c r="E44" s="183"/>
      <c r="F44" s="183"/>
      <c r="G44" s="183"/>
      <c r="H44" s="183"/>
      <c r="I44" s="183"/>
      <c r="J44" s="183"/>
      <c r="K44" s="182"/>
      <c r="L44" s="182"/>
      <c r="M44" s="184"/>
      <c r="N44" s="171"/>
      <c r="O44" s="171"/>
      <c r="P44" s="171"/>
      <c r="Q44" s="171"/>
      <c r="R44" s="171"/>
      <c r="S44" s="7"/>
      <c r="U44" s="22"/>
      <c r="V44" s="22"/>
      <c r="W44" s="22"/>
      <c r="X44" s="22"/>
      <c r="Y44" s="22"/>
    </row>
    <row r="45" spans="2:25" ht="12.75" customHeight="1" x14ac:dyDescent="0.2">
      <c r="B45" s="61"/>
      <c r="C45" s="172" t="s">
        <v>1176</v>
      </c>
      <c r="D45" s="172" t="s">
        <v>1151</v>
      </c>
      <c r="E45" s="183"/>
      <c r="F45" s="183"/>
      <c r="G45" s="183"/>
      <c r="H45" s="183"/>
      <c r="I45" s="183"/>
      <c r="J45" s="183"/>
      <c r="K45" s="182"/>
      <c r="L45" s="182"/>
      <c r="M45" s="184"/>
      <c r="N45" s="171"/>
      <c r="O45" s="171"/>
      <c r="P45" s="171"/>
      <c r="Q45" s="171"/>
      <c r="R45" s="171"/>
      <c r="S45" s="7"/>
      <c r="U45" s="22"/>
      <c r="V45" s="22"/>
      <c r="W45" s="22"/>
      <c r="X45" s="22"/>
      <c r="Y45" s="22"/>
    </row>
    <row r="46" spans="2:25" ht="24" customHeight="1" x14ac:dyDescent="0.2">
      <c r="B46" s="232"/>
      <c r="C46" s="338" t="s">
        <v>1156</v>
      </c>
      <c r="D46" s="338"/>
      <c r="E46" s="338"/>
      <c r="F46" s="338"/>
      <c r="G46" s="338"/>
      <c r="H46" s="339"/>
      <c r="I46" s="340" t="s">
        <v>1157</v>
      </c>
      <c r="J46" s="339"/>
      <c r="K46" s="171"/>
      <c r="L46" s="171"/>
      <c r="M46" s="171"/>
      <c r="N46" s="171"/>
      <c r="O46" s="171"/>
      <c r="P46" s="171"/>
      <c r="Q46" s="171"/>
      <c r="R46" s="171"/>
      <c r="S46" s="7"/>
      <c r="U46" s="22"/>
      <c r="V46" s="22"/>
      <c r="W46" s="22"/>
      <c r="X46" s="22"/>
      <c r="Y46" s="22"/>
    </row>
    <row r="47" spans="2:25" ht="12.75" customHeight="1" x14ac:dyDescent="0.2">
      <c r="B47" s="232"/>
      <c r="C47" s="341" t="s">
        <v>1586</v>
      </c>
      <c r="D47" s="341"/>
      <c r="E47" s="341"/>
      <c r="F47" s="341"/>
      <c r="G47" s="341"/>
      <c r="H47" s="342"/>
      <c r="I47" s="343">
        <f>GETPIVOTDATA("NET DWELLINGS",Pivot!$B$14)</f>
        <v>462</v>
      </c>
      <c r="J47" s="344"/>
      <c r="K47" s="171"/>
      <c r="L47" s="171"/>
      <c r="M47" s="171"/>
      <c r="N47" s="171"/>
      <c r="O47" s="171"/>
      <c r="P47" s="171"/>
      <c r="Q47" s="171"/>
      <c r="R47" s="171"/>
      <c r="S47" s="7"/>
      <c r="W47" s="22"/>
      <c r="X47" s="22"/>
      <c r="Y47" s="22"/>
    </row>
    <row r="48" spans="2:25" ht="12.75" customHeight="1" x14ac:dyDescent="0.2">
      <c r="B48" s="232"/>
      <c r="C48" s="341" t="s">
        <v>1159</v>
      </c>
      <c r="D48" s="341"/>
      <c r="E48" s="341"/>
      <c r="F48" s="341"/>
      <c r="G48" s="341"/>
      <c r="H48" s="342"/>
      <c r="I48" s="343">
        <f>GETPIVOTDATA("NET DWELLINGS",Pivot!$B$23)</f>
        <v>118</v>
      </c>
      <c r="J48" s="344"/>
      <c r="K48" s="171"/>
      <c r="L48" s="171"/>
      <c r="M48" s="171"/>
      <c r="N48" s="171"/>
      <c r="O48" s="171"/>
      <c r="P48" s="171"/>
      <c r="Q48" s="171"/>
      <c r="R48" s="171"/>
      <c r="S48" s="7"/>
      <c r="W48" s="22"/>
      <c r="X48" s="22"/>
      <c r="Y48" s="22"/>
    </row>
    <row r="49" spans="1:25" ht="12.75" customHeight="1" x14ac:dyDescent="0.2">
      <c r="A49" s="28"/>
      <c r="B49" s="233"/>
      <c r="C49" s="341" t="s">
        <v>1160</v>
      </c>
      <c r="D49" s="341"/>
      <c r="E49" s="341"/>
      <c r="F49" s="341"/>
      <c r="G49" s="341"/>
      <c r="H49" s="342"/>
      <c r="I49" s="343">
        <f>GETPIVOTDATA("NET DWELLINGS",Pivot!$B$32)</f>
        <v>90</v>
      </c>
      <c r="J49" s="344"/>
      <c r="K49" s="171"/>
      <c r="L49" s="171"/>
      <c r="M49" s="171"/>
      <c r="N49" s="171"/>
      <c r="O49" s="171"/>
      <c r="P49" s="171"/>
      <c r="Q49" s="171"/>
      <c r="R49" s="171"/>
      <c r="S49" s="7"/>
      <c r="T49" s="28"/>
      <c r="W49" s="22"/>
      <c r="X49" s="22"/>
      <c r="Y49" s="22"/>
    </row>
    <row r="50" spans="1:25" ht="12.75" customHeight="1" x14ac:dyDescent="0.2">
      <c r="B50" s="232"/>
      <c r="C50" s="341" t="s">
        <v>1161</v>
      </c>
      <c r="D50" s="341"/>
      <c r="E50" s="341"/>
      <c r="F50" s="341"/>
      <c r="G50" s="341"/>
      <c r="H50" s="342"/>
      <c r="I50" s="343">
        <f>GETPIVOTDATA("NET DWELLINGS",Pivot!$B$40)</f>
        <v>118</v>
      </c>
      <c r="J50" s="344"/>
      <c r="K50" s="171"/>
      <c r="L50" s="171"/>
      <c r="M50" s="171"/>
      <c r="N50" s="171"/>
      <c r="O50" s="171"/>
      <c r="P50" s="171"/>
      <c r="Q50" s="171"/>
      <c r="R50" s="171"/>
      <c r="S50" s="7"/>
      <c r="W50" s="22"/>
      <c r="X50" s="22"/>
      <c r="Y50" s="22"/>
    </row>
    <row r="51" spans="1:25" ht="12.75" customHeight="1" x14ac:dyDescent="0.2">
      <c r="B51" s="232"/>
      <c r="C51" s="341" t="s">
        <v>1162</v>
      </c>
      <c r="D51" s="341"/>
      <c r="E51" s="341"/>
      <c r="F51" s="341"/>
      <c r="G51" s="341"/>
      <c r="H51" s="342"/>
      <c r="I51" s="343">
        <f>GETPIVOTDATA("NET DWELLINGS",Pivot!$B$49)</f>
        <v>50</v>
      </c>
      <c r="J51" s="344"/>
      <c r="K51" s="171"/>
      <c r="L51" s="171"/>
      <c r="M51" s="171"/>
      <c r="N51" s="171"/>
      <c r="O51" s="171"/>
      <c r="P51" s="171"/>
      <c r="Q51" s="171"/>
      <c r="R51" s="171"/>
      <c r="S51" s="7"/>
      <c r="W51" s="22"/>
      <c r="X51" s="22"/>
      <c r="Y51" s="22"/>
    </row>
    <row r="52" spans="1:25" ht="12.75" customHeight="1" x14ac:dyDescent="0.2">
      <c r="B52" s="232"/>
      <c r="C52" s="341" t="s">
        <v>1260</v>
      </c>
      <c r="D52" s="341"/>
      <c r="E52" s="341"/>
      <c r="F52" s="341"/>
      <c r="G52" s="341"/>
      <c r="H52" s="342"/>
      <c r="I52" s="343">
        <f>GETPIVOTDATA("Net Dwellings",Pivot!$F$6)</f>
        <v>1381</v>
      </c>
      <c r="J52" s="344"/>
      <c r="K52" s="185"/>
      <c r="L52" s="171"/>
      <c r="M52" s="171"/>
      <c r="N52" s="171"/>
      <c r="O52" s="171"/>
      <c r="P52" s="171"/>
      <c r="Q52" s="171"/>
      <c r="R52" s="171"/>
      <c r="S52" s="7"/>
      <c r="W52" s="22"/>
      <c r="X52" s="22"/>
      <c r="Y52" s="22"/>
    </row>
    <row r="53" spans="1:25" ht="12.75" customHeight="1" x14ac:dyDescent="0.2">
      <c r="B53" s="232"/>
      <c r="C53" s="359" t="s">
        <v>1163</v>
      </c>
      <c r="D53" s="359"/>
      <c r="E53" s="359"/>
      <c r="F53" s="359"/>
      <c r="G53" s="359"/>
      <c r="H53" s="360"/>
      <c r="I53" s="361">
        <f>SUM(I47:J52)</f>
        <v>2219</v>
      </c>
      <c r="J53" s="362"/>
      <c r="K53" s="185"/>
      <c r="L53" s="171"/>
      <c r="M53" s="171"/>
      <c r="N53" s="171"/>
      <c r="O53" s="171"/>
      <c r="P53" s="171"/>
      <c r="Q53" s="171"/>
      <c r="R53" s="171"/>
      <c r="S53" s="7"/>
      <c r="W53" s="22"/>
      <c r="X53" s="22"/>
      <c r="Y53" s="22"/>
    </row>
    <row r="54" spans="1:25" x14ac:dyDescent="0.2">
      <c r="B54" s="61"/>
      <c r="C54" s="186"/>
      <c r="D54" s="22"/>
      <c r="E54" s="22"/>
      <c r="F54" s="22"/>
      <c r="G54" s="22"/>
      <c r="H54" s="22"/>
      <c r="I54" s="22"/>
      <c r="J54" s="22"/>
      <c r="K54" s="171"/>
      <c r="L54" s="171"/>
      <c r="M54" s="171"/>
      <c r="N54" s="171"/>
      <c r="O54" s="171"/>
      <c r="P54" s="171"/>
      <c r="Q54" s="171"/>
      <c r="R54" s="171"/>
      <c r="S54" s="7"/>
      <c r="W54" s="22"/>
      <c r="X54" s="22"/>
      <c r="Y54" s="22"/>
    </row>
    <row r="55" spans="1:25" x14ac:dyDescent="0.2">
      <c r="B55" s="61"/>
      <c r="C55" s="186"/>
      <c r="D55" s="187"/>
      <c r="E55" s="187"/>
      <c r="F55" s="187"/>
      <c r="G55" s="187"/>
      <c r="H55" s="187"/>
      <c r="I55" s="188"/>
      <c r="J55" s="188"/>
      <c r="K55" s="189"/>
      <c r="L55" s="190"/>
      <c r="M55" s="171"/>
      <c r="N55" s="171"/>
      <c r="O55" s="171"/>
      <c r="P55" s="171"/>
      <c r="Q55" s="171"/>
      <c r="R55" s="171"/>
      <c r="S55" s="7"/>
      <c r="W55" s="22"/>
      <c r="X55" s="22"/>
      <c r="Y55" s="22"/>
    </row>
    <row r="56" spans="1:25" x14ac:dyDescent="0.2">
      <c r="B56" s="61"/>
      <c r="C56" s="191"/>
      <c r="D56" s="192"/>
      <c r="E56" s="192"/>
      <c r="F56" s="193"/>
      <c r="G56" s="193"/>
      <c r="H56" s="193"/>
      <c r="I56" s="193"/>
      <c r="J56" s="193"/>
      <c r="K56" s="193"/>
      <c r="L56" s="193"/>
      <c r="M56" s="193"/>
      <c r="N56" s="194"/>
      <c r="O56" s="194"/>
      <c r="P56" s="194"/>
      <c r="Q56" s="194"/>
      <c r="R56" s="194"/>
      <c r="S56" s="125"/>
      <c r="W56" s="22"/>
      <c r="X56" s="22"/>
      <c r="Y56" s="22"/>
    </row>
    <row r="57" spans="1:25" ht="15" x14ac:dyDescent="0.25">
      <c r="B57" s="61"/>
      <c r="C57" s="182"/>
      <c r="D57" s="183"/>
      <c r="E57" s="183"/>
      <c r="F57" s="183"/>
      <c r="G57" s="183"/>
      <c r="H57" s="183"/>
      <c r="I57" s="183"/>
      <c r="J57" s="183"/>
      <c r="K57" s="182"/>
      <c r="L57" s="182"/>
      <c r="M57" s="184"/>
      <c r="N57" s="171"/>
      <c r="O57" s="171"/>
      <c r="P57" s="171"/>
      <c r="Q57" s="171"/>
      <c r="R57" s="171"/>
      <c r="S57" s="7"/>
      <c r="T57" s="29"/>
      <c r="U57" s="23"/>
      <c r="V57" s="23"/>
      <c r="W57" s="22"/>
      <c r="X57" s="22"/>
      <c r="Y57" s="22"/>
    </row>
    <row r="58" spans="1:25" ht="15" x14ac:dyDescent="0.25">
      <c r="B58" s="61"/>
      <c r="C58" s="173"/>
      <c r="D58" s="173"/>
      <c r="E58" s="173"/>
      <c r="F58" s="173"/>
      <c r="G58" s="173"/>
      <c r="H58" s="173"/>
      <c r="I58" s="173"/>
      <c r="J58" s="173"/>
      <c r="K58" s="173"/>
      <c r="L58" s="173"/>
      <c r="M58" s="173"/>
      <c r="N58" s="114"/>
      <c r="O58" s="114"/>
      <c r="P58" s="173"/>
      <c r="Q58" s="173"/>
      <c r="R58" s="173"/>
      <c r="S58" s="9"/>
      <c r="U58" s="23"/>
      <c r="V58" s="23"/>
      <c r="W58" s="22"/>
      <c r="X58" s="22"/>
      <c r="Y58" s="22"/>
    </row>
    <row r="59" spans="1:25" x14ac:dyDescent="0.2">
      <c r="B59" s="61"/>
      <c r="C59" s="172" t="s">
        <v>1188</v>
      </c>
      <c r="D59" s="172" t="s">
        <v>1261</v>
      </c>
      <c r="E59" s="173"/>
      <c r="F59" s="173"/>
      <c r="G59" s="173"/>
      <c r="H59" s="173"/>
      <c r="I59" s="173"/>
      <c r="J59" s="173"/>
      <c r="K59" s="173"/>
      <c r="L59" s="173"/>
      <c r="M59" s="173"/>
      <c r="N59" s="173"/>
      <c r="O59" s="173"/>
      <c r="P59" s="173"/>
      <c r="Q59" s="173"/>
      <c r="R59" s="173"/>
      <c r="S59" s="9"/>
      <c r="U59" s="22"/>
      <c r="V59" s="22"/>
      <c r="W59" s="22"/>
      <c r="X59" s="22"/>
      <c r="Y59" s="22"/>
    </row>
    <row r="60" spans="1:25" x14ac:dyDescent="0.2">
      <c r="B60" s="232"/>
      <c r="C60" s="320" t="s">
        <v>1165</v>
      </c>
      <c r="D60" s="331"/>
      <c r="E60" s="331"/>
      <c r="F60" s="354" t="s">
        <v>1166</v>
      </c>
      <c r="G60" s="354"/>
      <c r="H60" s="354" t="s">
        <v>1167</v>
      </c>
      <c r="I60" s="354"/>
      <c r="J60" s="354" t="s">
        <v>1122</v>
      </c>
      <c r="K60" s="354"/>
      <c r="L60" s="173"/>
      <c r="M60" s="173"/>
      <c r="N60" s="173"/>
      <c r="O60" s="173"/>
      <c r="P60" s="173"/>
      <c r="Q60" s="173"/>
      <c r="R60" s="173"/>
      <c r="S60" s="9"/>
      <c r="U60" s="22"/>
      <c r="V60" s="22"/>
      <c r="W60" s="22"/>
      <c r="X60" s="22"/>
      <c r="Y60" s="22"/>
    </row>
    <row r="61" spans="1:25" ht="12.75" customHeight="1" x14ac:dyDescent="0.2">
      <c r="B61" s="232"/>
      <c r="C61" s="320"/>
      <c r="D61" s="331"/>
      <c r="E61" s="331"/>
      <c r="F61" s="165" t="s">
        <v>1168</v>
      </c>
      <c r="G61" s="165" t="s">
        <v>1169</v>
      </c>
      <c r="H61" s="165" t="s">
        <v>1168</v>
      </c>
      <c r="I61" s="165" t="s">
        <v>1169</v>
      </c>
      <c r="J61" s="165" t="s">
        <v>1168</v>
      </c>
      <c r="K61" s="165" t="s">
        <v>1169</v>
      </c>
      <c r="L61" s="173"/>
      <c r="M61" s="173"/>
      <c r="N61" s="173"/>
      <c r="O61" s="173"/>
      <c r="P61" s="173"/>
      <c r="Q61" s="173"/>
      <c r="R61" s="173"/>
      <c r="S61" s="9"/>
      <c r="U61" s="22"/>
      <c r="V61" s="22"/>
    </row>
    <row r="62" spans="1:25" x14ac:dyDescent="0.2">
      <c r="B62" s="232"/>
      <c r="C62" s="336" t="s">
        <v>1256</v>
      </c>
      <c r="D62" s="337"/>
      <c r="E62" s="337"/>
      <c r="F62" s="123">
        <f>GETPIVOTDATA("Units Proposed",Pivot!$B$71)</f>
        <v>282</v>
      </c>
      <c r="G62" s="123">
        <f>GETPIVOTDATA("Net Dwellings",Pivot!$B$62)</f>
        <v>269</v>
      </c>
      <c r="H62" s="123">
        <f>GETPIVOTDATA("Units Proposed",Pivot!$B$89)</f>
        <v>100</v>
      </c>
      <c r="I62" s="123">
        <f>GETPIVOTDATA("Net Dwellings",Pivot!$B$80)</f>
        <v>62</v>
      </c>
      <c r="J62" s="123">
        <f t="shared" ref="J62:K64" si="0">F62+H62</f>
        <v>382</v>
      </c>
      <c r="K62" s="123">
        <f>G62+I62</f>
        <v>331</v>
      </c>
      <c r="L62" s="173"/>
      <c r="M62" s="173"/>
      <c r="N62" s="173"/>
      <c r="O62" s="173"/>
      <c r="P62" s="173"/>
      <c r="Q62" s="173"/>
      <c r="R62" s="173"/>
      <c r="S62" s="9"/>
      <c r="U62" s="22"/>
      <c r="V62" s="22"/>
    </row>
    <row r="63" spans="1:25" x14ac:dyDescent="0.2">
      <c r="B63" s="232"/>
      <c r="C63" s="336" t="s">
        <v>1170</v>
      </c>
      <c r="D63" s="337"/>
      <c r="E63" s="337"/>
      <c r="F63" s="123">
        <f>GETPIVOTDATA("Units Proposed",Pivot!$E$71)</f>
        <v>530</v>
      </c>
      <c r="G63" s="123">
        <f>GETPIVOTDATA("Net Dwellings",Pivot!$E$62)</f>
        <v>462</v>
      </c>
      <c r="H63" s="123">
        <f>GETPIVOTDATA("Units Proposed",Pivot!$E$89)</f>
        <v>125</v>
      </c>
      <c r="I63" s="123">
        <f>GETPIVOTDATA("Net Dwellings",Pivot!$E$80)</f>
        <v>90</v>
      </c>
      <c r="J63" s="123">
        <f t="shared" si="0"/>
        <v>655</v>
      </c>
      <c r="K63" s="123">
        <f t="shared" si="0"/>
        <v>552</v>
      </c>
      <c r="L63" s="173"/>
      <c r="M63" s="173"/>
      <c r="N63" s="173"/>
      <c r="O63" s="173"/>
      <c r="P63" s="173"/>
      <c r="Q63" s="173"/>
      <c r="R63" s="173"/>
      <c r="S63" s="9"/>
    </row>
    <row r="64" spans="1:25" ht="12.75" customHeight="1" x14ac:dyDescent="0.2">
      <c r="B64" s="232"/>
      <c r="C64" s="336" t="s">
        <v>1171</v>
      </c>
      <c r="D64" s="337"/>
      <c r="E64" s="337"/>
      <c r="F64" s="123">
        <f>GETPIVOTDATA("Units Proposed",Pivot!$H$71)</f>
        <v>193</v>
      </c>
      <c r="G64" s="123">
        <f>GETPIVOTDATA("Net Dwellings",Pivot!$H$62)</f>
        <v>156</v>
      </c>
      <c r="H64" s="123">
        <f>GETPIVOTDATA("Units Proposed",Pivot!$H$89)</f>
        <v>201</v>
      </c>
      <c r="I64" s="123">
        <f>GETPIVOTDATA("Net Dwellings",Pivot!$H$80)</f>
        <v>168</v>
      </c>
      <c r="J64" s="123">
        <f t="shared" si="0"/>
        <v>394</v>
      </c>
      <c r="K64" s="123">
        <f t="shared" si="0"/>
        <v>324</v>
      </c>
      <c r="L64" s="173"/>
      <c r="M64" s="173"/>
      <c r="N64" s="173"/>
      <c r="O64" s="173"/>
      <c r="P64" s="173"/>
      <c r="Q64" s="173"/>
      <c r="R64" s="173"/>
      <c r="S64" s="9"/>
    </row>
    <row r="65" spans="2:19" x14ac:dyDescent="0.2">
      <c r="B65" s="232"/>
      <c r="C65" s="336" t="s">
        <v>1260</v>
      </c>
      <c r="D65" s="337"/>
      <c r="E65" s="337"/>
      <c r="F65" s="123">
        <f>I52</f>
        <v>1381</v>
      </c>
      <c r="G65" s="123">
        <f>I52</f>
        <v>1381</v>
      </c>
      <c r="H65" s="123">
        <v>0</v>
      </c>
      <c r="I65" s="123">
        <v>0</v>
      </c>
      <c r="J65" s="123">
        <f>F65</f>
        <v>1381</v>
      </c>
      <c r="K65" s="123">
        <f>G65</f>
        <v>1381</v>
      </c>
      <c r="L65" s="195"/>
      <c r="M65" s="173"/>
      <c r="N65" s="173"/>
      <c r="O65" s="173"/>
      <c r="P65" s="173"/>
      <c r="Q65" s="173"/>
      <c r="R65" s="173"/>
      <c r="S65" s="9"/>
    </row>
    <row r="66" spans="2:19" ht="12.75" customHeight="1" x14ac:dyDescent="0.2">
      <c r="B66" s="232"/>
      <c r="C66" s="357" t="s">
        <v>1582</v>
      </c>
      <c r="D66" s="358"/>
      <c r="E66" s="358"/>
      <c r="F66" s="98">
        <f t="shared" ref="F66:J66" si="1">SUM(F63:F65)</f>
        <v>2104</v>
      </c>
      <c r="G66" s="98">
        <f t="shared" si="1"/>
        <v>1999</v>
      </c>
      <c r="H66" s="98">
        <f t="shared" si="1"/>
        <v>326</v>
      </c>
      <c r="I66" s="98">
        <f t="shared" si="1"/>
        <v>258</v>
      </c>
      <c r="J66" s="98">
        <f t="shared" si="1"/>
        <v>2430</v>
      </c>
      <c r="K66" s="98">
        <f>SUM(K63:K65)</f>
        <v>2257</v>
      </c>
      <c r="L66" s="173"/>
      <c r="M66" s="173"/>
      <c r="N66" s="173"/>
      <c r="O66" s="173"/>
      <c r="P66" s="173"/>
      <c r="Q66" s="173"/>
      <c r="R66" s="173"/>
      <c r="S66" s="9"/>
    </row>
    <row r="67" spans="2:19" ht="12.75" customHeight="1" x14ac:dyDescent="0.2">
      <c r="B67" s="61"/>
      <c r="C67" s="186"/>
      <c r="D67" s="196"/>
      <c r="E67" s="196"/>
      <c r="F67" s="197"/>
      <c r="G67" s="197"/>
      <c r="H67" s="197"/>
      <c r="I67" s="197"/>
      <c r="J67" s="197"/>
      <c r="K67" s="197"/>
      <c r="L67" s="173"/>
      <c r="M67" s="173"/>
      <c r="N67" s="173"/>
      <c r="O67" s="173"/>
      <c r="P67" s="173"/>
      <c r="Q67" s="173"/>
      <c r="R67" s="173"/>
      <c r="S67" s="9"/>
    </row>
    <row r="68" spans="2:19" ht="12.75" customHeight="1" x14ac:dyDescent="0.2">
      <c r="B68" s="61"/>
      <c r="C68" s="186"/>
      <c r="D68" s="196"/>
      <c r="E68" s="196"/>
      <c r="F68" s="197"/>
      <c r="G68" s="197"/>
      <c r="H68" s="197"/>
      <c r="I68" s="197"/>
      <c r="J68" s="197"/>
      <c r="K68" s="197"/>
      <c r="L68" s="173"/>
      <c r="M68" s="173"/>
      <c r="N68" s="173"/>
      <c r="O68" s="173"/>
      <c r="P68" s="173"/>
      <c r="Q68" s="173"/>
      <c r="R68" s="173"/>
      <c r="S68" s="9"/>
    </row>
    <row r="69" spans="2:19" x14ac:dyDescent="0.2">
      <c r="B69" s="61"/>
      <c r="C69" s="186"/>
      <c r="D69" s="196"/>
      <c r="E69" s="196"/>
      <c r="F69" s="197"/>
      <c r="G69" s="197"/>
      <c r="H69" s="197"/>
      <c r="I69" s="197"/>
      <c r="J69" s="197"/>
      <c r="K69" s="197"/>
      <c r="L69" s="173"/>
      <c r="M69" s="173"/>
      <c r="N69" s="173"/>
      <c r="O69" s="173"/>
      <c r="P69" s="173"/>
      <c r="Q69" s="173"/>
      <c r="R69" s="173"/>
      <c r="S69" s="9"/>
    </row>
    <row r="70" spans="2:19" ht="12.75" customHeight="1" x14ac:dyDescent="0.2">
      <c r="B70" s="61"/>
      <c r="C70" s="186"/>
      <c r="D70" s="196"/>
      <c r="E70" s="196"/>
      <c r="F70" s="197"/>
      <c r="G70" s="197"/>
      <c r="H70" s="197"/>
      <c r="I70" s="197"/>
      <c r="J70" s="197"/>
      <c r="K70" s="197"/>
      <c r="L70" s="173"/>
      <c r="M70" s="173"/>
      <c r="N70" s="173"/>
      <c r="O70" s="173"/>
      <c r="P70" s="173"/>
      <c r="Q70" s="173"/>
      <c r="R70" s="173"/>
      <c r="S70" s="9"/>
    </row>
    <row r="71" spans="2:19" x14ac:dyDescent="0.2">
      <c r="B71" s="61"/>
      <c r="C71" s="194"/>
      <c r="D71" s="194"/>
      <c r="E71" s="194"/>
      <c r="F71" s="194"/>
      <c r="G71" s="194"/>
      <c r="H71" s="194"/>
      <c r="I71" s="194"/>
      <c r="J71" s="194"/>
      <c r="K71" s="194"/>
      <c r="L71" s="194"/>
      <c r="M71" s="194"/>
      <c r="N71" s="194"/>
      <c r="O71" s="194"/>
      <c r="P71" s="194"/>
      <c r="Q71" s="194"/>
      <c r="R71" s="194"/>
      <c r="S71" s="125"/>
    </row>
    <row r="72" spans="2:19" x14ac:dyDescent="0.2">
      <c r="B72" s="70"/>
      <c r="C72" s="222"/>
      <c r="D72" s="126"/>
      <c r="E72" s="126"/>
      <c r="F72" s="126"/>
      <c r="G72" s="126"/>
      <c r="H72" s="126"/>
      <c r="I72" s="126"/>
      <c r="J72" s="126"/>
      <c r="K72" s="126"/>
      <c r="L72" s="126"/>
      <c r="M72" s="126"/>
      <c r="N72" s="126"/>
      <c r="O72" s="126"/>
      <c r="P72" s="126"/>
      <c r="Q72" s="126"/>
      <c r="R72" s="126"/>
      <c r="S72" s="127"/>
    </row>
    <row r="73" spans="2:19" x14ac:dyDescent="0.2">
      <c r="B73" s="61"/>
      <c r="C73" s="194"/>
      <c r="D73" s="194"/>
      <c r="E73" s="194"/>
      <c r="F73" s="194"/>
      <c r="G73" s="194"/>
      <c r="H73" s="194"/>
      <c r="I73" s="194"/>
      <c r="J73" s="194"/>
      <c r="K73" s="194"/>
      <c r="L73" s="194"/>
      <c r="M73" s="194"/>
      <c r="N73" s="194"/>
      <c r="O73" s="194"/>
      <c r="P73" s="194"/>
      <c r="Q73" s="194"/>
      <c r="R73" s="194"/>
      <c r="S73" s="125"/>
    </row>
    <row r="74" spans="2:19" x14ac:dyDescent="0.2">
      <c r="B74" s="61"/>
      <c r="C74" s="172" t="s">
        <v>1310</v>
      </c>
      <c r="D74" s="128" t="s">
        <v>1357</v>
      </c>
      <c r="E74" s="198"/>
      <c r="F74" s="198"/>
      <c r="G74" s="198"/>
      <c r="H74" s="198"/>
      <c r="I74" s="198"/>
      <c r="J74" s="198"/>
      <c r="K74" s="198"/>
      <c r="L74" s="198"/>
      <c r="M74" s="194"/>
      <c r="N74" s="194"/>
      <c r="O74" s="194"/>
      <c r="P74" s="194"/>
      <c r="Q74" s="194"/>
      <c r="R74" s="194"/>
      <c r="S74" s="125"/>
    </row>
    <row r="75" spans="2:19" ht="22.5" x14ac:dyDescent="0.2">
      <c r="B75" s="232"/>
      <c r="C75" s="223" t="s">
        <v>1177</v>
      </c>
      <c r="D75" s="146" t="s">
        <v>1189</v>
      </c>
      <c r="E75" s="146" t="s">
        <v>1291</v>
      </c>
      <c r="F75" s="199"/>
      <c r="G75" s="200"/>
      <c r="H75" s="200"/>
      <c r="I75" s="200"/>
      <c r="J75" s="200"/>
      <c r="K75" s="200"/>
      <c r="L75" s="200"/>
      <c r="M75" s="201"/>
      <c r="N75" s="201"/>
      <c r="O75" s="201"/>
      <c r="P75" s="201"/>
      <c r="Q75" s="201"/>
      <c r="R75" s="201"/>
      <c r="S75" s="129"/>
    </row>
    <row r="76" spans="2:19" x14ac:dyDescent="0.2">
      <c r="B76" s="232"/>
      <c r="C76" s="224" t="s">
        <v>1178</v>
      </c>
      <c r="D76" s="130">
        <v>160</v>
      </c>
      <c r="E76" s="130"/>
      <c r="F76" s="202"/>
      <c r="G76" s="198"/>
      <c r="H76" s="198"/>
      <c r="I76" s="198"/>
      <c r="J76" s="198"/>
      <c r="K76" s="198"/>
      <c r="L76" s="198"/>
      <c r="M76" s="194"/>
      <c r="N76" s="194"/>
      <c r="O76" s="194"/>
      <c r="P76" s="194"/>
      <c r="Q76" s="194"/>
      <c r="R76" s="194"/>
      <c r="S76" s="125"/>
    </row>
    <row r="77" spans="2:19" ht="12.75" customHeight="1" x14ac:dyDescent="0.2">
      <c r="B77" s="232"/>
      <c r="C77" s="225" t="s">
        <v>1179</v>
      </c>
      <c r="D77" s="131">
        <v>319</v>
      </c>
      <c r="E77" s="131"/>
      <c r="F77" s="202"/>
      <c r="G77" s="198"/>
      <c r="H77" s="198"/>
      <c r="I77" s="198"/>
      <c r="J77" s="198"/>
      <c r="K77" s="198"/>
      <c r="L77" s="198"/>
      <c r="M77" s="194"/>
      <c r="N77" s="194"/>
      <c r="O77" s="194"/>
      <c r="P77" s="194"/>
      <c r="Q77" s="194"/>
      <c r="R77" s="194"/>
      <c r="S77" s="125"/>
    </row>
    <row r="78" spans="2:19" x14ac:dyDescent="0.2">
      <c r="B78" s="232"/>
      <c r="C78" s="225" t="s">
        <v>1180</v>
      </c>
      <c r="D78" s="131">
        <v>246</v>
      </c>
      <c r="E78" s="131"/>
      <c r="F78" s="202"/>
      <c r="G78" s="198"/>
      <c r="H78" s="198"/>
      <c r="I78" s="198"/>
      <c r="J78" s="198"/>
      <c r="K78" s="198"/>
      <c r="L78" s="198"/>
      <c r="M78" s="194"/>
      <c r="N78" s="194"/>
      <c r="O78" s="194"/>
      <c r="P78" s="194"/>
      <c r="Q78" s="194"/>
      <c r="R78" s="194"/>
      <c r="S78" s="125"/>
    </row>
    <row r="79" spans="2:19" x14ac:dyDescent="0.2">
      <c r="B79" s="232"/>
      <c r="C79" s="225" t="s">
        <v>1181</v>
      </c>
      <c r="D79" s="131">
        <v>582</v>
      </c>
      <c r="E79" s="131"/>
      <c r="F79" s="202"/>
      <c r="G79" s="198"/>
      <c r="H79" s="198"/>
      <c r="I79" s="198"/>
      <c r="J79" s="198"/>
      <c r="K79" s="198"/>
      <c r="L79" s="198"/>
      <c r="M79" s="194"/>
      <c r="N79" s="194"/>
      <c r="O79" s="194"/>
      <c r="P79" s="194"/>
      <c r="Q79" s="194"/>
      <c r="R79" s="194"/>
      <c r="S79" s="125"/>
    </row>
    <row r="80" spans="2:19" x14ac:dyDescent="0.2">
      <c r="B80" s="232"/>
      <c r="C80" s="225" t="s">
        <v>1182</v>
      </c>
      <c r="D80" s="131">
        <v>842</v>
      </c>
      <c r="E80" s="131">
        <f>AVERAGE(D76:D80)</f>
        <v>429.8</v>
      </c>
      <c r="F80" s="202"/>
      <c r="G80" s="198"/>
      <c r="H80" s="198"/>
      <c r="I80" s="198"/>
      <c r="J80" s="198"/>
      <c r="K80" s="198"/>
      <c r="L80" s="198"/>
      <c r="M80" s="194"/>
      <c r="N80" s="194"/>
      <c r="O80" s="194"/>
      <c r="P80" s="194"/>
      <c r="Q80" s="194"/>
      <c r="R80" s="194"/>
      <c r="S80" s="125"/>
    </row>
    <row r="81" spans="2:19" x14ac:dyDescent="0.2">
      <c r="B81" s="232"/>
      <c r="C81" s="225" t="s">
        <v>1183</v>
      </c>
      <c r="D81" s="131">
        <v>230</v>
      </c>
      <c r="E81" s="131">
        <f t="shared" ref="E81:E93" si="2">AVERAGE(D77:D81)</f>
        <v>443.8</v>
      </c>
      <c r="F81" s="202"/>
      <c r="G81" s="198"/>
      <c r="H81" s="198"/>
      <c r="I81" s="198"/>
      <c r="J81" s="198"/>
      <c r="K81" s="198"/>
      <c r="L81" s="198"/>
      <c r="M81" s="194"/>
      <c r="N81" s="194"/>
      <c r="O81" s="194"/>
      <c r="P81" s="194"/>
      <c r="Q81" s="194"/>
      <c r="R81" s="194"/>
      <c r="S81" s="125"/>
    </row>
    <row r="82" spans="2:19" x14ac:dyDescent="0.2">
      <c r="B82" s="232"/>
      <c r="C82" s="225" t="s">
        <v>1184</v>
      </c>
      <c r="D82" s="131">
        <v>260</v>
      </c>
      <c r="E82" s="131">
        <f>AVERAGE(D78:D82)</f>
        <v>432</v>
      </c>
      <c r="F82" s="202"/>
      <c r="G82" s="198"/>
      <c r="H82" s="198"/>
      <c r="I82" s="198"/>
      <c r="J82" s="198"/>
      <c r="K82" s="198"/>
      <c r="L82" s="198"/>
      <c r="M82" s="194"/>
      <c r="N82" s="194"/>
      <c r="O82" s="194"/>
      <c r="P82" s="194"/>
      <c r="Q82" s="194"/>
      <c r="R82" s="194"/>
      <c r="S82" s="125"/>
    </row>
    <row r="83" spans="2:19" x14ac:dyDescent="0.2">
      <c r="B83" s="232"/>
      <c r="C83" s="225" t="s">
        <v>1185</v>
      </c>
      <c r="D83" s="131">
        <v>436</v>
      </c>
      <c r="E83" s="131">
        <f>AVERAGE(D79:D83)</f>
        <v>470</v>
      </c>
      <c r="F83" s="202"/>
      <c r="G83" s="198"/>
      <c r="H83" s="198"/>
      <c r="I83" s="198"/>
      <c r="J83" s="198"/>
      <c r="K83" s="198"/>
      <c r="L83" s="198"/>
      <c r="M83" s="194"/>
      <c r="N83" s="194"/>
      <c r="O83" s="194"/>
      <c r="P83" s="194"/>
      <c r="Q83" s="194"/>
      <c r="R83" s="194"/>
      <c r="S83" s="125"/>
    </row>
    <row r="84" spans="2:19" x14ac:dyDescent="0.2">
      <c r="B84" s="232"/>
      <c r="C84" s="225" t="s">
        <v>1186</v>
      </c>
      <c r="D84" s="131">
        <v>145</v>
      </c>
      <c r="E84" s="131">
        <f>AVERAGE(D80:D84)</f>
        <v>382.6</v>
      </c>
      <c r="F84" s="202"/>
      <c r="G84" s="198"/>
      <c r="H84" s="198"/>
      <c r="I84" s="198"/>
      <c r="J84" s="198"/>
      <c r="K84" s="198"/>
      <c r="L84" s="198"/>
      <c r="M84" s="194"/>
      <c r="N84" s="194"/>
      <c r="O84" s="194"/>
      <c r="P84" s="194"/>
      <c r="Q84" s="194"/>
      <c r="R84" s="194"/>
      <c r="S84" s="125"/>
    </row>
    <row r="85" spans="2:19" x14ac:dyDescent="0.2">
      <c r="B85" s="232"/>
      <c r="C85" s="225" t="s">
        <v>1187</v>
      </c>
      <c r="D85" s="131">
        <v>399</v>
      </c>
      <c r="E85" s="131">
        <f>AVERAGE(D81:D85)</f>
        <v>294</v>
      </c>
      <c r="F85" s="202"/>
      <c r="G85" s="198"/>
      <c r="H85" s="198"/>
      <c r="I85" s="198"/>
      <c r="J85" s="198"/>
      <c r="K85" s="198"/>
      <c r="L85" s="198"/>
      <c r="M85" s="194"/>
      <c r="N85" s="194"/>
      <c r="O85" s="194"/>
      <c r="P85" s="194"/>
      <c r="Q85" s="194"/>
      <c r="R85" s="194"/>
      <c r="S85" s="125"/>
    </row>
    <row r="86" spans="2:19" x14ac:dyDescent="0.2">
      <c r="B86" s="232"/>
      <c r="C86" s="225" t="s">
        <v>1124</v>
      </c>
      <c r="D86" s="131">
        <v>208</v>
      </c>
      <c r="E86" s="131">
        <f t="shared" si="2"/>
        <v>289.60000000000002</v>
      </c>
      <c r="F86" s="202"/>
      <c r="G86" s="198"/>
      <c r="H86" s="198"/>
      <c r="I86" s="198"/>
      <c r="J86" s="198"/>
      <c r="K86" s="198"/>
      <c r="L86" s="198"/>
      <c r="M86" s="194"/>
      <c r="N86" s="194"/>
      <c r="O86" s="194"/>
      <c r="P86" s="194"/>
      <c r="Q86" s="194"/>
      <c r="R86" s="194"/>
      <c r="S86" s="125"/>
    </row>
    <row r="87" spans="2:19" x14ac:dyDescent="0.2">
      <c r="B87" s="232"/>
      <c r="C87" s="225" t="s">
        <v>1125</v>
      </c>
      <c r="D87" s="131">
        <v>695</v>
      </c>
      <c r="E87" s="131">
        <f t="shared" si="2"/>
        <v>376.6</v>
      </c>
      <c r="F87" s="202"/>
      <c r="G87" s="191"/>
      <c r="H87" s="198"/>
      <c r="I87" s="198"/>
      <c r="J87" s="198"/>
      <c r="K87" s="198"/>
      <c r="L87" s="198"/>
      <c r="M87" s="194"/>
      <c r="N87" s="194"/>
      <c r="O87" s="194"/>
      <c r="P87" s="194"/>
      <c r="Q87" s="194"/>
      <c r="R87" s="194"/>
      <c r="S87" s="125"/>
    </row>
    <row r="88" spans="2:19" x14ac:dyDescent="0.2">
      <c r="B88" s="232"/>
      <c r="C88" s="225" t="s">
        <v>1126</v>
      </c>
      <c r="D88" s="131">
        <v>235</v>
      </c>
      <c r="E88" s="131">
        <f t="shared" si="2"/>
        <v>336.4</v>
      </c>
      <c r="F88" s="203"/>
      <c r="G88" s="22"/>
      <c r="H88" s="22"/>
      <c r="I88" s="22"/>
      <c r="J88" s="22"/>
      <c r="K88" s="22"/>
      <c r="L88" s="22"/>
      <c r="M88" s="22"/>
      <c r="N88" s="22"/>
      <c r="O88" s="22"/>
      <c r="P88" s="22"/>
      <c r="Q88" s="22"/>
      <c r="R88" s="22"/>
      <c r="S88" s="66"/>
    </row>
    <row r="89" spans="2:19" x14ac:dyDescent="0.2">
      <c r="B89" s="232"/>
      <c r="C89" s="225" t="s">
        <v>1127</v>
      </c>
      <c r="D89" s="131">
        <v>304</v>
      </c>
      <c r="E89" s="131">
        <f t="shared" si="2"/>
        <v>368.2</v>
      </c>
      <c r="F89" s="203"/>
      <c r="G89" s="22"/>
      <c r="H89" s="22"/>
      <c r="I89" s="22"/>
      <c r="J89" s="22"/>
      <c r="K89" s="22"/>
      <c r="L89" s="22"/>
      <c r="M89" s="22"/>
      <c r="N89" s="22"/>
      <c r="O89" s="22"/>
      <c r="P89" s="22"/>
      <c r="Q89" s="22"/>
      <c r="R89" s="22"/>
      <c r="S89" s="66"/>
    </row>
    <row r="90" spans="2:19" x14ac:dyDescent="0.2">
      <c r="B90" s="232"/>
      <c r="C90" s="225" t="s">
        <v>1128</v>
      </c>
      <c r="D90" s="131">
        <v>491</v>
      </c>
      <c r="E90" s="131">
        <f t="shared" si="2"/>
        <v>386.6</v>
      </c>
      <c r="F90" s="203"/>
      <c r="G90" s="22"/>
      <c r="H90" s="22"/>
      <c r="I90" s="22"/>
      <c r="J90" s="22"/>
      <c r="K90" s="22"/>
      <c r="L90" s="22"/>
      <c r="M90" s="22"/>
      <c r="N90" s="22"/>
      <c r="O90" s="22"/>
      <c r="P90" s="22"/>
      <c r="Q90" s="22"/>
      <c r="R90" s="22"/>
      <c r="S90" s="66"/>
    </row>
    <row r="91" spans="2:19" x14ac:dyDescent="0.2">
      <c r="B91" s="232"/>
      <c r="C91" s="225" t="s">
        <v>1129</v>
      </c>
      <c r="D91" s="131">
        <v>460</v>
      </c>
      <c r="E91" s="131">
        <f t="shared" si="2"/>
        <v>437</v>
      </c>
      <c r="F91" s="203"/>
      <c r="G91" s="22"/>
      <c r="H91" s="22"/>
      <c r="I91" s="22"/>
      <c r="J91" s="22"/>
      <c r="K91" s="22"/>
      <c r="L91" s="22"/>
      <c r="M91" s="22"/>
      <c r="N91" s="22"/>
      <c r="O91" s="22"/>
      <c r="P91" s="22"/>
      <c r="Q91" s="22"/>
      <c r="R91" s="22"/>
      <c r="S91" s="66"/>
    </row>
    <row r="92" spans="2:19" x14ac:dyDescent="0.2">
      <c r="B92" s="232"/>
      <c r="C92" s="225" t="s">
        <v>1130</v>
      </c>
      <c r="D92" s="131">
        <v>382</v>
      </c>
      <c r="E92" s="131">
        <f t="shared" si="2"/>
        <v>374.4</v>
      </c>
      <c r="F92" s="203"/>
      <c r="G92" s="22"/>
      <c r="H92" s="22"/>
      <c r="I92" s="22"/>
      <c r="J92" s="22"/>
      <c r="K92" s="22"/>
      <c r="L92" s="22"/>
      <c r="M92" s="22"/>
      <c r="N92" s="22"/>
      <c r="O92" s="22"/>
      <c r="P92" s="22"/>
      <c r="Q92" s="22"/>
      <c r="R92" s="22"/>
      <c r="S92" s="66"/>
    </row>
    <row r="93" spans="2:19" x14ac:dyDescent="0.2">
      <c r="B93" s="232"/>
      <c r="C93" s="225" t="s">
        <v>1131</v>
      </c>
      <c r="D93" s="131">
        <v>419</v>
      </c>
      <c r="E93" s="131">
        <f t="shared" si="2"/>
        <v>411.2</v>
      </c>
      <c r="F93" s="203"/>
      <c r="G93" s="22"/>
      <c r="H93" s="22"/>
      <c r="I93" s="22"/>
      <c r="J93" s="22"/>
      <c r="K93" s="22"/>
      <c r="L93" s="22"/>
      <c r="M93" s="22"/>
      <c r="N93" s="22"/>
      <c r="O93" s="22"/>
      <c r="P93" s="22"/>
      <c r="Q93" s="22"/>
      <c r="R93" s="22"/>
      <c r="S93" s="66"/>
    </row>
    <row r="94" spans="2:19" x14ac:dyDescent="0.2">
      <c r="B94" s="232"/>
      <c r="C94" s="225" t="s">
        <v>1237</v>
      </c>
      <c r="D94" s="131">
        <f>K62</f>
        <v>331</v>
      </c>
      <c r="E94" s="131">
        <f>AVERAGE(D90:D94)</f>
        <v>416.6</v>
      </c>
      <c r="F94" s="203"/>
      <c r="G94" s="22"/>
      <c r="H94" s="22"/>
      <c r="I94" s="22"/>
      <c r="J94" s="22"/>
      <c r="K94" s="22"/>
      <c r="L94" s="22"/>
      <c r="M94" s="22"/>
      <c r="N94" s="22"/>
      <c r="O94" s="22"/>
      <c r="P94" s="22"/>
      <c r="Q94" s="22"/>
      <c r="R94" s="22"/>
      <c r="S94" s="66"/>
    </row>
    <row r="95" spans="2:19" x14ac:dyDescent="0.2">
      <c r="B95" s="61"/>
      <c r="C95" s="204"/>
      <c r="D95" s="205"/>
      <c r="F95" s="22"/>
      <c r="G95" s="22"/>
      <c r="H95" s="22"/>
      <c r="I95" s="22"/>
      <c r="J95" s="22"/>
      <c r="K95" s="22"/>
      <c r="L95" s="22"/>
      <c r="M95" s="22"/>
      <c r="N95" s="22"/>
      <c r="O95" s="22"/>
      <c r="P95" s="22"/>
      <c r="Q95" s="22"/>
      <c r="R95" s="22"/>
      <c r="S95" s="66"/>
    </row>
    <row r="96" spans="2:19" x14ac:dyDescent="0.2">
      <c r="B96" s="61"/>
      <c r="C96" s="206"/>
      <c r="D96" s="206"/>
      <c r="E96" s="206"/>
      <c r="F96" s="206"/>
      <c r="G96" s="207"/>
      <c r="H96" s="22"/>
      <c r="I96" s="22"/>
      <c r="J96" s="173"/>
      <c r="K96" s="173"/>
      <c r="L96" s="173"/>
      <c r="M96" s="173"/>
      <c r="N96" s="173"/>
      <c r="O96" s="173"/>
      <c r="P96" s="173"/>
      <c r="Q96" s="173"/>
      <c r="R96" s="22"/>
      <c r="S96" s="66"/>
    </row>
    <row r="97" spans="2:28" x14ac:dyDescent="0.2">
      <c r="B97" s="70"/>
      <c r="C97" s="10"/>
      <c r="D97" s="10"/>
      <c r="E97" s="10"/>
      <c r="F97" s="10"/>
      <c r="G97" s="10"/>
      <c r="H97" s="10"/>
      <c r="I97" s="10"/>
      <c r="J97" s="10"/>
      <c r="K97" s="10"/>
      <c r="L97" s="10"/>
      <c r="M97" s="10"/>
      <c r="N97" s="10"/>
      <c r="O97" s="10"/>
      <c r="P97" s="10"/>
      <c r="Q97" s="10"/>
      <c r="R97" s="65"/>
      <c r="S97" s="67"/>
    </row>
    <row r="98" spans="2:28" x14ac:dyDescent="0.2">
      <c r="B98" s="61"/>
      <c r="C98" s="132"/>
      <c r="D98" s="132"/>
      <c r="E98" s="132"/>
      <c r="F98" s="132"/>
      <c r="G98" s="132"/>
      <c r="H98" s="132"/>
      <c r="I98" s="132"/>
      <c r="J98" s="132"/>
      <c r="K98" s="132"/>
      <c r="L98" s="132"/>
      <c r="M98" s="132"/>
      <c r="N98" s="132"/>
      <c r="O98" s="132"/>
      <c r="P98" s="132"/>
      <c r="Q98" s="132"/>
      <c r="R98" s="133"/>
      <c r="S98" s="134"/>
    </row>
    <row r="99" spans="2:28" ht="20.25" x14ac:dyDescent="0.3">
      <c r="B99" s="61"/>
      <c r="C99" s="208" t="s">
        <v>1189</v>
      </c>
      <c r="D99" s="173"/>
      <c r="E99" s="173"/>
      <c r="F99" s="173"/>
      <c r="G99" s="173"/>
      <c r="H99" s="173"/>
      <c r="I99" s="173"/>
      <c r="J99" s="173"/>
      <c r="K99" s="173"/>
      <c r="L99" s="173"/>
      <c r="M99" s="173"/>
      <c r="N99" s="173"/>
      <c r="O99" s="173"/>
      <c r="P99" s="173"/>
      <c r="Q99" s="173"/>
      <c r="R99" s="22"/>
      <c r="S99" s="66"/>
    </row>
    <row r="100" spans="2:28" x14ac:dyDescent="0.2">
      <c r="B100" s="61"/>
      <c r="C100" s="114"/>
      <c r="D100" s="114"/>
      <c r="E100" s="114"/>
      <c r="F100" s="114"/>
      <c r="G100" s="114"/>
      <c r="H100" s="114"/>
      <c r="I100" s="114"/>
      <c r="J100" s="114"/>
      <c r="K100" s="114"/>
      <c r="L100" s="114"/>
      <c r="M100" s="114"/>
      <c r="N100" s="114"/>
      <c r="O100" s="114"/>
      <c r="P100" s="114"/>
      <c r="Q100" s="114"/>
      <c r="R100" s="22"/>
      <c r="S100" s="66"/>
    </row>
    <row r="101" spans="2:28" x14ac:dyDescent="0.2">
      <c r="B101" s="61"/>
      <c r="C101" s="172" t="s">
        <v>1192</v>
      </c>
      <c r="D101" s="172" t="s">
        <v>1289</v>
      </c>
      <c r="E101" s="173"/>
      <c r="F101" s="173"/>
      <c r="G101" s="173"/>
      <c r="H101" s="173"/>
      <c r="I101" s="173"/>
      <c r="J101" s="173"/>
      <c r="K101" s="173"/>
      <c r="L101" s="173"/>
      <c r="M101" s="173"/>
      <c r="N101" s="173"/>
      <c r="O101" s="173"/>
      <c r="P101" s="173"/>
      <c r="Q101" s="173"/>
      <c r="R101" s="22"/>
      <c r="S101" s="66"/>
    </row>
    <row r="102" spans="2:28" x14ac:dyDescent="0.2">
      <c r="B102" s="232"/>
      <c r="C102" s="350" t="s">
        <v>1177</v>
      </c>
      <c r="D102" s="374" t="s">
        <v>1190</v>
      </c>
      <c r="E102" s="375"/>
      <c r="F102" s="374" t="s">
        <v>1191</v>
      </c>
      <c r="G102" s="375"/>
      <c r="H102" s="376" t="s">
        <v>1193</v>
      </c>
      <c r="I102" s="173"/>
      <c r="J102" s="173"/>
      <c r="K102" s="173"/>
      <c r="L102" s="173"/>
      <c r="M102" s="173"/>
      <c r="N102" s="22"/>
      <c r="O102" s="22"/>
      <c r="P102" s="22"/>
      <c r="Q102" s="22"/>
      <c r="R102" s="22"/>
      <c r="S102" s="66"/>
    </row>
    <row r="103" spans="2:28" x14ac:dyDescent="0.2">
      <c r="B103" s="232"/>
      <c r="C103" s="350"/>
      <c r="D103" s="147" t="s">
        <v>1194</v>
      </c>
      <c r="E103" s="147" t="s">
        <v>1195</v>
      </c>
      <c r="F103" s="147" t="s">
        <v>1194</v>
      </c>
      <c r="G103" s="147" t="s">
        <v>1195</v>
      </c>
      <c r="H103" s="377"/>
      <c r="I103" s="173"/>
      <c r="J103" s="173"/>
      <c r="K103" s="173"/>
      <c r="L103" s="173"/>
      <c r="M103" s="173"/>
      <c r="N103" s="22"/>
      <c r="O103" s="22"/>
      <c r="P103" s="22"/>
      <c r="Q103" s="22"/>
      <c r="R103" s="22"/>
      <c r="S103" s="66"/>
    </row>
    <row r="104" spans="2:28" x14ac:dyDescent="0.2">
      <c r="B104" s="232"/>
      <c r="C104" s="226" t="s">
        <v>1182</v>
      </c>
      <c r="D104" s="135">
        <v>611</v>
      </c>
      <c r="E104" s="136">
        <f t="shared" ref="E104:E117" si="3">D104/H104</f>
        <v>0.72565320665083133</v>
      </c>
      <c r="F104" s="135">
        <v>231</v>
      </c>
      <c r="G104" s="136">
        <f t="shared" ref="G104:G117" si="4">F104/H104</f>
        <v>0.27434679334916867</v>
      </c>
      <c r="H104" s="135">
        <v>842</v>
      </c>
      <c r="I104" s="173"/>
      <c r="J104" s="173"/>
      <c r="K104" s="173"/>
      <c r="L104" s="173"/>
      <c r="M104" s="173"/>
      <c r="N104" s="22"/>
      <c r="O104" s="22"/>
      <c r="P104" s="22"/>
      <c r="Q104" s="22"/>
      <c r="R104" s="22"/>
      <c r="S104" s="66"/>
    </row>
    <row r="105" spans="2:28" x14ac:dyDescent="0.2">
      <c r="B105" s="232"/>
      <c r="C105" s="226" t="s">
        <v>1183</v>
      </c>
      <c r="D105" s="135">
        <v>192</v>
      </c>
      <c r="E105" s="136">
        <f t="shared" si="3"/>
        <v>0.83478260869565213</v>
      </c>
      <c r="F105" s="135">
        <v>38</v>
      </c>
      <c r="G105" s="136">
        <f t="shared" si="4"/>
        <v>0.16521739130434782</v>
      </c>
      <c r="H105" s="135">
        <f t="shared" ref="H105:H114" si="5">F105+D105</f>
        <v>230</v>
      </c>
      <c r="I105" s="173"/>
      <c r="J105" s="173"/>
      <c r="K105" s="173"/>
      <c r="L105" s="173"/>
      <c r="M105" s="173"/>
      <c r="N105" s="22"/>
      <c r="O105" s="22"/>
      <c r="P105" s="22"/>
      <c r="Q105" s="22"/>
      <c r="R105" s="22"/>
      <c r="S105" s="66"/>
    </row>
    <row r="106" spans="2:28" x14ac:dyDescent="0.2">
      <c r="B106" s="232"/>
      <c r="C106" s="226" t="s">
        <v>1184</v>
      </c>
      <c r="D106" s="135">
        <v>257</v>
      </c>
      <c r="E106" s="136">
        <f t="shared" si="3"/>
        <v>0.9884615384615385</v>
      </c>
      <c r="F106" s="135">
        <v>3</v>
      </c>
      <c r="G106" s="136">
        <f t="shared" si="4"/>
        <v>1.1538461538461539E-2</v>
      </c>
      <c r="H106" s="135">
        <f t="shared" si="5"/>
        <v>260</v>
      </c>
      <c r="I106" s="173"/>
      <c r="J106" s="173"/>
      <c r="K106" s="173"/>
      <c r="L106" s="173"/>
      <c r="M106" s="173"/>
      <c r="N106" s="22"/>
      <c r="O106" s="22"/>
      <c r="P106" s="22"/>
      <c r="Q106" s="22"/>
      <c r="R106" s="22"/>
      <c r="S106" s="66"/>
    </row>
    <row r="107" spans="2:28" x14ac:dyDescent="0.2">
      <c r="B107" s="232"/>
      <c r="C107" s="226" t="s">
        <v>1185</v>
      </c>
      <c r="D107" s="135">
        <v>338</v>
      </c>
      <c r="E107" s="136">
        <f t="shared" si="3"/>
        <v>0.77522935779816515</v>
      </c>
      <c r="F107" s="135">
        <v>98</v>
      </c>
      <c r="G107" s="136">
        <f t="shared" si="4"/>
        <v>0.22477064220183487</v>
      </c>
      <c r="H107" s="135">
        <f t="shared" si="5"/>
        <v>436</v>
      </c>
      <c r="I107" s="173"/>
      <c r="J107" s="173"/>
      <c r="K107" s="173"/>
      <c r="L107" s="173"/>
      <c r="M107" s="173"/>
      <c r="N107" s="22"/>
      <c r="O107" s="22"/>
      <c r="P107" s="22"/>
      <c r="Q107" s="22"/>
      <c r="R107" s="22"/>
      <c r="S107" s="66"/>
    </row>
    <row r="108" spans="2:28" x14ac:dyDescent="0.2">
      <c r="B108" s="232"/>
      <c r="C108" s="226" t="s">
        <v>1186</v>
      </c>
      <c r="D108" s="135">
        <v>145</v>
      </c>
      <c r="E108" s="136">
        <f t="shared" si="3"/>
        <v>1</v>
      </c>
      <c r="F108" s="135">
        <v>0</v>
      </c>
      <c r="G108" s="136">
        <f t="shared" si="4"/>
        <v>0</v>
      </c>
      <c r="H108" s="135">
        <f t="shared" si="5"/>
        <v>145</v>
      </c>
      <c r="I108" s="173"/>
      <c r="J108" s="173"/>
      <c r="K108" s="173"/>
      <c r="L108" s="173"/>
      <c r="M108" s="173"/>
      <c r="N108" s="22"/>
      <c r="O108" s="22"/>
      <c r="P108" s="22"/>
      <c r="Q108" s="22"/>
      <c r="R108" s="22"/>
      <c r="S108" s="66"/>
    </row>
    <row r="109" spans="2:28" x14ac:dyDescent="0.2">
      <c r="B109" s="232"/>
      <c r="C109" s="226" t="s">
        <v>1187</v>
      </c>
      <c r="D109" s="135">
        <v>273</v>
      </c>
      <c r="E109" s="136">
        <f t="shared" si="3"/>
        <v>0.68421052631578949</v>
      </c>
      <c r="F109" s="135">
        <v>126</v>
      </c>
      <c r="G109" s="136">
        <f t="shared" si="4"/>
        <v>0.31578947368421051</v>
      </c>
      <c r="H109" s="135">
        <f t="shared" si="5"/>
        <v>399</v>
      </c>
      <c r="I109" s="173"/>
      <c r="J109" s="173"/>
      <c r="K109" s="173"/>
      <c r="L109" s="173"/>
      <c r="M109" s="173"/>
      <c r="N109" s="22"/>
      <c r="O109" s="22"/>
      <c r="P109" s="22"/>
      <c r="Q109" s="22"/>
      <c r="R109" s="22"/>
      <c r="S109" s="66"/>
    </row>
    <row r="110" spans="2:28" x14ac:dyDescent="0.2">
      <c r="B110" s="232"/>
      <c r="C110" s="226" t="s">
        <v>1124</v>
      </c>
      <c r="D110" s="135">
        <v>133</v>
      </c>
      <c r="E110" s="136">
        <f t="shared" si="3"/>
        <v>0.63942307692307687</v>
      </c>
      <c r="F110" s="135">
        <v>75</v>
      </c>
      <c r="G110" s="136">
        <f t="shared" si="4"/>
        <v>0.36057692307692307</v>
      </c>
      <c r="H110" s="135">
        <f t="shared" si="5"/>
        <v>208</v>
      </c>
      <c r="I110" s="173"/>
      <c r="J110" s="173"/>
      <c r="K110" s="173"/>
      <c r="L110" s="173"/>
      <c r="M110" s="173"/>
      <c r="N110" s="22"/>
      <c r="O110" s="22"/>
      <c r="P110" s="22"/>
      <c r="Q110" s="22"/>
      <c r="R110" s="22"/>
      <c r="S110" s="66"/>
    </row>
    <row r="111" spans="2:28" x14ac:dyDescent="0.2">
      <c r="B111" s="232"/>
      <c r="C111" s="226" t="s">
        <v>1125</v>
      </c>
      <c r="D111" s="135">
        <v>468</v>
      </c>
      <c r="E111" s="136">
        <f t="shared" si="3"/>
        <v>0.67338129496402876</v>
      </c>
      <c r="F111" s="135">
        <v>227</v>
      </c>
      <c r="G111" s="136">
        <f t="shared" si="4"/>
        <v>0.32661870503597124</v>
      </c>
      <c r="H111" s="135">
        <f t="shared" si="5"/>
        <v>695</v>
      </c>
      <c r="I111" s="173"/>
      <c r="J111" s="173"/>
      <c r="K111" s="173"/>
      <c r="L111" s="173"/>
      <c r="M111" s="173"/>
      <c r="N111" s="22"/>
      <c r="O111" s="22"/>
      <c r="P111" s="22"/>
      <c r="Q111" s="22"/>
      <c r="R111" s="22"/>
      <c r="S111" s="66"/>
      <c r="V111" s="11"/>
      <c r="W111" s="11"/>
      <c r="X111" s="12"/>
      <c r="Y111" s="12"/>
      <c r="Z111" s="12"/>
      <c r="AA111" s="12"/>
      <c r="AB111" s="12"/>
    </row>
    <row r="112" spans="2:28" x14ac:dyDescent="0.2">
      <c r="B112" s="232"/>
      <c r="C112" s="227" t="s">
        <v>1126</v>
      </c>
      <c r="D112" s="135">
        <v>202</v>
      </c>
      <c r="E112" s="136">
        <f t="shared" si="3"/>
        <v>0.8595744680851064</v>
      </c>
      <c r="F112" s="135">
        <v>33</v>
      </c>
      <c r="G112" s="136">
        <f t="shared" si="4"/>
        <v>0.14042553191489363</v>
      </c>
      <c r="H112" s="135">
        <f t="shared" si="5"/>
        <v>235</v>
      </c>
      <c r="I112" s="114"/>
      <c r="J112" s="114"/>
      <c r="K112" s="114"/>
      <c r="L112" s="114"/>
      <c r="M112" s="114"/>
      <c r="N112" s="22"/>
      <c r="O112" s="22"/>
      <c r="P112" s="22"/>
      <c r="Q112" s="22"/>
      <c r="R112" s="22"/>
      <c r="S112" s="66"/>
      <c r="V112" s="378"/>
      <c r="W112" s="373"/>
      <c r="X112" s="373"/>
      <c r="Y112" s="373"/>
      <c r="Z112" s="373"/>
      <c r="AA112" s="373"/>
      <c r="AB112" s="373"/>
    </row>
    <row r="113" spans="2:28" ht="12.75" customHeight="1" x14ac:dyDescent="0.2">
      <c r="B113" s="232"/>
      <c r="C113" s="227" t="s">
        <v>1127</v>
      </c>
      <c r="D113" s="135">
        <v>298</v>
      </c>
      <c r="E113" s="136">
        <f t="shared" si="3"/>
        <v>0.98026315789473684</v>
      </c>
      <c r="F113" s="117">
        <v>6</v>
      </c>
      <c r="G113" s="136">
        <f t="shared" si="4"/>
        <v>1.9736842105263157E-2</v>
      </c>
      <c r="H113" s="135">
        <f t="shared" si="5"/>
        <v>304</v>
      </c>
      <c r="I113" s="114"/>
      <c r="J113" s="114"/>
      <c r="K113" s="114"/>
      <c r="L113" s="114"/>
      <c r="M113" s="114"/>
      <c r="N113" s="22"/>
      <c r="O113" s="22"/>
      <c r="P113" s="22"/>
      <c r="Q113" s="22"/>
      <c r="R113" s="22"/>
      <c r="S113" s="66"/>
      <c r="V113" s="378"/>
      <c r="W113" s="104"/>
      <c r="X113" s="104"/>
      <c r="Y113" s="104"/>
      <c r="Z113" s="104"/>
      <c r="AA113" s="104"/>
      <c r="AB113" s="104"/>
    </row>
    <row r="114" spans="2:28" ht="12.75" customHeight="1" x14ac:dyDescent="0.2">
      <c r="B114" s="232"/>
      <c r="C114" s="226" t="s">
        <v>1128</v>
      </c>
      <c r="D114" s="135">
        <v>392</v>
      </c>
      <c r="E114" s="136">
        <f t="shared" si="3"/>
        <v>0.79837067209775969</v>
      </c>
      <c r="F114" s="135">
        <v>99</v>
      </c>
      <c r="G114" s="136">
        <f t="shared" si="4"/>
        <v>0.20162932790224034</v>
      </c>
      <c r="H114" s="135">
        <f t="shared" si="5"/>
        <v>491</v>
      </c>
      <c r="I114" s="114"/>
      <c r="J114" s="114"/>
      <c r="K114" s="114"/>
      <c r="L114" s="114"/>
      <c r="M114" s="114"/>
      <c r="N114" s="22"/>
      <c r="O114" s="22"/>
      <c r="P114" s="22"/>
      <c r="Q114" s="22"/>
      <c r="R114" s="22"/>
      <c r="S114" s="66"/>
      <c r="U114" s="13"/>
      <c r="V114" s="14"/>
      <c r="W114" s="15"/>
      <c r="X114" s="15"/>
      <c r="Y114" s="15"/>
      <c r="Z114" s="15"/>
      <c r="AA114" s="15"/>
      <c r="AB114" s="15"/>
    </row>
    <row r="115" spans="2:28" ht="12.75" customHeight="1" x14ac:dyDescent="0.2">
      <c r="B115" s="232"/>
      <c r="C115" s="227" t="s">
        <v>1129</v>
      </c>
      <c r="D115" s="135">
        <v>398</v>
      </c>
      <c r="E115" s="136">
        <f t="shared" si="3"/>
        <v>0.86521739130434783</v>
      </c>
      <c r="F115" s="117">
        <v>62</v>
      </c>
      <c r="G115" s="136">
        <f t="shared" si="4"/>
        <v>0.13478260869565217</v>
      </c>
      <c r="H115" s="135">
        <v>460</v>
      </c>
      <c r="I115" s="114"/>
      <c r="J115" s="114"/>
      <c r="K115" s="114"/>
      <c r="L115" s="114"/>
      <c r="M115" s="114"/>
      <c r="N115" s="22"/>
      <c r="O115" s="22"/>
      <c r="P115" s="22"/>
      <c r="Q115" s="22"/>
      <c r="R115" s="22"/>
      <c r="S115" s="66"/>
      <c r="V115" s="14"/>
      <c r="W115" s="15"/>
      <c r="X115" s="15"/>
      <c r="Y115" s="15"/>
      <c r="Z115" s="15"/>
      <c r="AA115" s="15"/>
      <c r="AB115" s="15"/>
    </row>
    <row r="116" spans="2:28" x14ac:dyDescent="0.2">
      <c r="B116" s="232"/>
      <c r="C116" s="227" t="s">
        <v>1130</v>
      </c>
      <c r="D116" s="135">
        <v>341</v>
      </c>
      <c r="E116" s="136">
        <f t="shared" si="3"/>
        <v>0.89267015706806285</v>
      </c>
      <c r="F116" s="117">
        <v>41</v>
      </c>
      <c r="G116" s="136">
        <f t="shared" si="4"/>
        <v>0.10732984293193717</v>
      </c>
      <c r="H116" s="135">
        <f>F116+D116</f>
        <v>382</v>
      </c>
      <c r="I116" s="114"/>
      <c r="J116" s="114"/>
      <c r="K116" s="114"/>
      <c r="L116" s="114"/>
      <c r="M116" s="114"/>
      <c r="N116" s="22"/>
      <c r="O116" s="22"/>
      <c r="P116" s="22"/>
      <c r="Q116" s="22"/>
      <c r="R116" s="22"/>
      <c r="S116" s="66"/>
      <c r="V116" s="14"/>
      <c r="W116" s="15"/>
      <c r="X116" s="15"/>
      <c r="Y116" s="15"/>
      <c r="Z116" s="15"/>
      <c r="AA116" s="15"/>
      <c r="AB116" s="15"/>
    </row>
    <row r="117" spans="2:28" x14ac:dyDescent="0.2">
      <c r="B117" s="232"/>
      <c r="C117" s="227" t="s">
        <v>1131</v>
      </c>
      <c r="D117" s="135">
        <v>349</v>
      </c>
      <c r="E117" s="136">
        <f t="shared" si="3"/>
        <v>0.83293556085918852</v>
      </c>
      <c r="F117" s="117">
        <v>70</v>
      </c>
      <c r="G117" s="136">
        <f t="shared" si="4"/>
        <v>0.16706443914081145</v>
      </c>
      <c r="H117" s="135">
        <f>F117+D117</f>
        <v>419</v>
      </c>
      <c r="I117" s="114"/>
      <c r="J117" s="114"/>
      <c r="K117" s="114"/>
      <c r="L117" s="114"/>
      <c r="M117" s="114"/>
      <c r="N117" s="22"/>
      <c r="O117" s="22"/>
      <c r="P117" s="22"/>
      <c r="Q117" s="22"/>
      <c r="R117" s="22"/>
      <c r="S117" s="66"/>
      <c r="V117" s="14"/>
      <c r="W117" s="15"/>
      <c r="X117" s="15"/>
      <c r="Y117" s="15"/>
      <c r="Z117" s="15"/>
      <c r="AA117" s="15"/>
      <c r="AB117" s="15"/>
    </row>
    <row r="118" spans="2:28" x14ac:dyDescent="0.2">
      <c r="B118" s="232"/>
      <c r="C118" s="227" t="s">
        <v>1237</v>
      </c>
      <c r="D118" s="135">
        <f>GETPIVOTDATA("Net Dwellings",Pivot!$B$115)</f>
        <v>297</v>
      </c>
      <c r="E118" s="136">
        <f>D118/H118</f>
        <v>0.89728096676737157</v>
      </c>
      <c r="F118" s="117">
        <f>GETPIVOTDATA("Net Dwellings",Pivot!$B$107)</f>
        <v>34</v>
      </c>
      <c r="G118" s="136">
        <f>F118/H118</f>
        <v>0.1027190332326284</v>
      </c>
      <c r="H118" s="135">
        <f>F118+D118</f>
        <v>331</v>
      </c>
      <c r="I118" s="114"/>
      <c r="J118" s="114"/>
      <c r="K118" s="114"/>
      <c r="L118" s="114"/>
      <c r="M118" s="114"/>
      <c r="N118" s="22"/>
      <c r="O118" s="22"/>
      <c r="P118" s="22"/>
      <c r="Q118" s="22"/>
      <c r="R118" s="22"/>
      <c r="S118" s="66"/>
      <c r="V118" s="14"/>
      <c r="W118" s="15"/>
      <c r="X118" s="15"/>
      <c r="Y118" s="15"/>
      <c r="Z118" s="15"/>
      <c r="AA118" s="15"/>
      <c r="AB118" s="15"/>
    </row>
    <row r="119" spans="2:28" x14ac:dyDescent="0.2">
      <c r="B119" s="232"/>
      <c r="C119" s="228" t="s">
        <v>1122</v>
      </c>
      <c r="D119" s="148">
        <f>SUM(D104:D118)</f>
        <v>4694</v>
      </c>
      <c r="E119" s="149">
        <f>D119/H119</f>
        <v>0.80418022956998458</v>
      </c>
      <c r="F119" s="148">
        <f>SUM(F104:F118)</f>
        <v>1143</v>
      </c>
      <c r="G119" s="149">
        <f>F119/H119</f>
        <v>0.19581977043001542</v>
      </c>
      <c r="H119" s="148">
        <f>SUM(H104:H118)</f>
        <v>5837</v>
      </c>
      <c r="I119" s="114"/>
      <c r="J119" s="114"/>
      <c r="K119" s="114"/>
      <c r="L119" s="114"/>
      <c r="M119" s="114"/>
      <c r="N119" s="22"/>
      <c r="O119" s="22"/>
      <c r="P119" s="22"/>
      <c r="Q119" s="22"/>
      <c r="R119" s="22"/>
      <c r="S119" s="66"/>
      <c r="V119" s="14"/>
      <c r="W119" s="15"/>
      <c r="X119" s="15"/>
      <c r="Y119" s="15"/>
      <c r="Z119" s="15"/>
      <c r="AA119" s="15"/>
      <c r="AB119" s="15"/>
    </row>
    <row r="120" spans="2:28" x14ac:dyDescent="0.2">
      <c r="B120" s="61"/>
      <c r="C120" s="114"/>
      <c r="D120" s="114"/>
      <c r="E120" s="114"/>
      <c r="F120" s="114"/>
      <c r="G120" s="114"/>
      <c r="H120" s="114"/>
      <c r="I120" s="114"/>
      <c r="J120" s="114"/>
      <c r="K120" s="114"/>
      <c r="L120" s="114"/>
      <c r="M120" s="114"/>
      <c r="N120" s="114"/>
      <c r="O120" s="114"/>
      <c r="P120" s="114"/>
      <c r="Q120" s="114"/>
      <c r="R120" s="22"/>
      <c r="S120" s="66"/>
      <c r="V120" s="14"/>
      <c r="W120" s="15"/>
      <c r="X120" s="15"/>
      <c r="Y120" s="15"/>
      <c r="Z120" s="15"/>
      <c r="AA120" s="15"/>
      <c r="AB120" s="15"/>
    </row>
    <row r="121" spans="2:28" x14ac:dyDescent="0.2">
      <c r="B121" s="61"/>
      <c r="C121" s="114"/>
      <c r="D121" s="114"/>
      <c r="E121" s="114"/>
      <c r="F121" s="114"/>
      <c r="G121" s="114"/>
      <c r="H121" s="114"/>
      <c r="I121" s="114"/>
      <c r="J121" s="114"/>
      <c r="K121" s="114"/>
      <c r="L121" s="114"/>
      <c r="M121" s="114"/>
      <c r="N121" s="114"/>
      <c r="O121" s="114"/>
      <c r="P121" s="114"/>
      <c r="Q121" s="114"/>
      <c r="R121" s="22"/>
      <c r="S121" s="66"/>
      <c r="V121" s="14"/>
      <c r="W121" s="15"/>
      <c r="X121" s="15"/>
      <c r="Y121" s="15"/>
      <c r="Z121" s="15"/>
      <c r="AA121" s="15"/>
      <c r="AB121" s="15"/>
    </row>
    <row r="122" spans="2:28" x14ac:dyDescent="0.2">
      <c r="B122" s="61"/>
      <c r="C122" s="114"/>
      <c r="D122" s="114"/>
      <c r="E122" s="114"/>
      <c r="F122" s="114"/>
      <c r="G122" s="114"/>
      <c r="H122" s="114"/>
      <c r="I122" s="114"/>
      <c r="J122" s="114"/>
      <c r="K122" s="114"/>
      <c r="L122" s="114"/>
      <c r="M122" s="114"/>
      <c r="N122" s="114"/>
      <c r="O122" s="114"/>
      <c r="P122" s="114"/>
      <c r="Q122" s="114"/>
      <c r="R122" s="22"/>
      <c r="S122" s="66"/>
      <c r="V122" s="14"/>
      <c r="W122" s="15"/>
      <c r="X122" s="15"/>
      <c r="Y122" s="15"/>
      <c r="Z122" s="15"/>
      <c r="AA122" s="15"/>
      <c r="AB122" s="15"/>
    </row>
    <row r="123" spans="2:28" x14ac:dyDescent="0.2">
      <c r="B123" s="61"/>
      <c r="C123" s="114"/>
      <c r="D123" s="114"/>
      <c r="E123" s="114"/>
      <c r="F123" s="114"/>
      <c r="G123" s="114"/>
      <c r="H123" s="114"/>
      <c r="I123" s="114"/>
      <c r="J123" s="114"/>
      <c r="K123" s="114"/>
      <c r="L123" s="114"/>
      <c r="M123" s="114"/>
      <c r="N123" s="114"/>
      <c r="O123" s="114"/>
      <c r="P123" s="114"/>
      <c r="Q123" s="114"/>
      <c r="R123" s="22"/>
      <c r="S123" s="66"/>
      <c r="V123" s="14"/>
      <c r="W123" s="15"/>
      <c r="X123" s="15"/>
      <c r="Y123" s="15"/>
      <c r="Z123" s="15"/>
      <c r="AA123" s="15"/>
      <c r="AB123" s="15"/>
    </row>
    <row r="124" spans="2:28" x14ac:dyDescent="0.2">
      <c r="B124" s="61"/>
      <c r="C124" s="114"/>
      <c r="D124" s="114"/>
      <c r="E124" s="114"/>
      <c r="F124" s="114"/>
      <c r="G124" s="114"/>
      <c r="H124" s="114"/>
      <c r="I124" s="114"/>
      <c r="J124" s="114"/>
      <c r="K124" s="114"/>
      <c r="L124" s="114"/>
      <c r="M124" s="114"/>
      <c r="N124" s="114"/>
      <c r="O124" s="114"/>
      <c r="P124" s="114"/>
      <c r="Q124" s="114"/>
      <c r="R124" s="22"/>
      <c r="S124" s="66"/>
      <c r="V124" s="14"/>
      <c r="W124" s="15"/>
      <c r="X124" s="15"/>
      <c r="Y124" s="15"/>
      <c r="Z124" s="15"/>
      <c r="AA124" s="15"/>
      <c r="AB124" s="15"/>
    </row>
    <row r="125" spans="2:28" x14ac:dyDescent="0.2">
      <c r="B125" s="61"/>
      <c r="C125" s="114"/>
      <c r="D125" s="114"/>
      <c r="E125" s="114"/>
      <c r="F125" s="114"/>
      <c r="G125" s="114"/>
      <c r="H125" s="114"/>
      <c r="I125" s="114"/>
      <c r="J125" s="114"/>
      <c r="K125" s="114"/>
      <c r="L125" s="114"/>
      <c r="M125" s="114"/>
      <c r="N125" s="114"/>
      <c r="O125" s="114"/>
      <c r="P125" s="114"/>
      <c r="Q125" s="114"/>
      <c r="R125" s="22"/>
      <c r="S125" s="66"/>
      <c r="V125" s="14"/>
      <c r="W125" s="15"/>
      <c r="X125" s="15"/>
      <c r="Y125" s="15"/>
      <c r="Z125" s="15"/>
      <c r="AA125" s="15"/>
      <c r="AB125" s="15"/>
    </row>
    <row r="126" spans="2:28" x14ac:dyDescent="0.2">
      <c r="B126" s="61"/>
      <c r="C126" s="114"/>
      <c r="D126" s="114"/>
      <c r="E126" s="114"/>
      <c r="F126" s="114"/>
      <c r="G126" s="114"/>
      <c r="H126" s="114"/>
      <c r="I126" s="114"/>
      <c r="J126" s="114"/>
      <c r="K126" s="114"/>
      <c r="L126" s="114"/>
      <c r="M126" s="114"/>
      <c r="N126" s="114"/>
      <c r="O126" s="114"/>
      <c r="P126" s="114"/>
      <c r="Q126" s="114"/>
      <c r="R126" s="22"/>
      <c r="S126" s="66"/>
      <c r="V126" s="14"/>
      <c r="W126" s="15"/>
      <c r="X126" s="15"/>
      <c r="Y126" s="15"/>
      <c r="Z126" s="15"/>
      <c r="AA126" s="15"/>
      <c r="AB126" s="15"/>
    </row>
    <row r="127" spans="2:28" x14ac:dyDescent="0.2">
      <c r="B127" s="61"/>
      <c r="C127" s="114"/>
      <c r="D127" s="114"/>
      <c r="E127" s="114"/>
      <c r="F127" s="114"/>
      <c r="G127" s="114"/>
      <c r="H127" s="114"/>
      <c r="I127" s="114"/>
      <c r="J127" s="114"/>
      <c r="K127" s="114"/>
      <c r="L127" s="114"/>
      <c r="M127" s="114"/>
      <c r="N127" s="114"/>
      <c r="O127" s="114"/>
      <c r="P127" s="114"/>
      <c r="Q127" s="114"/>
      <c r="R127" s="22"/>
      <c r="S127" s="66"/>
      <c r="V127" s="14"/>
      <c r="W127" s="15"/>
      <c r="X127" s="15"/>
      <c r="Y127" s="15"/>
      <c r="Z127" s="15"/>
      <c r="AA127" s="15"/>
      <c r="AB127" s="15"/>
    </row>
    <row r="128" spans="2:28" x14ac:dyDescent="0.2">
      <c r="B128" s="61"/>
      <c r="C128" s="114"/>
      <c r="D128" s="114"/>
      <c r="E128" s="114"/>
      <c r="F128" s="114"/>
      <c r="G128" s="114"/>
      <c r="H128" s="114"/>
      <c r="I128" s="114"/>
      <c r="J128" s="114"/>
      <c r="K128" s="114"/>
      <c r="L128" s="114"/>
      <c r="M128" s="114"/>
      <c r="N128" s="114"/>
      <c r="O128" s="114"/>
      <c r="P128" s="114"/>
      <c r="Q128" s="114"/>
      <c r="R128" s="22"/>
      <c r="S128" s="66"/>
      <c r="V128" s="14"/>
      <c r="W128" s="15"/>
      <c r="X128" s="15"/>
      <c r="Y128" s="15"/>
      <c r="Z128" s="15"/>
      <c r="AA128" s="15"/>
      <c r="AB128" s="15"/>
    </row>
    <row r="129" spans="2:28" x14ac:dyDescent="0.2">
      <c r="B129" s="61"/>
      <c r="C129" s="114"/>
      <c r="D129" s="114"/>
      <c r="E129" s="114"/>
      <c r="F129" s="114"/>
      <c r="G129" s="114"/>
      <c r="H129" s="114"/>
      <c r="I129" s="114"/>
      <c r="J129" s="114"/>
      <c r="K129" s="114"/>
      <c r="L129" s="114"/>
      <c r="M129" s="114"/>
      <c r="N129" s="114"/>
      <c r="O129" s="114"/>
      <c r="P129" s="114"/>
      <c r="Q129" s="114"/>
      <c r="R129" s="22"/>
      <c r="S129" s="66"/>
      <c r="V129" s="14"/>
      <c r="W129" s="15"/>
      <c r="X129" s="15"/>
      <c r="Y129" s="15"/>
      <c r="Z129" s="15"/>
      <c r="AA129" s="15"/>
      <c r="AB129" s="15"/>
    </row>
    <row r="130" spans="2:28" x14ac:dyDescent="0.2">
      <c r="B130" s="61"/>
      <c r="C130" s="114"/>
      <c r="D130" s="114"/>
      <c r="E130" s="114"/>
      <c r="F130" s="114"/>
      <c r="G130" s="114"/>
      <c r="H130" s="114"/>
      <c r="I130" s="114"/>
      <c r="J130" s="114"/>
      <c r="K130" s="114"/>
      <c r="L130" s="114"/>
      <c r="M130" s="114"/>
      <c r="N130" s="114"/>
      <c r="O130" s="114"/>
      <c r="P130" s="114"/>
      <c r="Q130" s="114"/>
      <c r="R130" s="22"/>
      <c r="S130" s="66"/>
      <c r="V130" s="16"/>
      <c r="W130" s="17"/>
      <c r="X130" s="17"/>
      <c r="Y130" s="17"/>
      <c r="Z130" s="17"/>
      <c r="AA130" s="17"/>
      <c r="AB130" s="17"/>
    </row>
    <row r="131" spans="2:28" x14ac:dyDescent="0.2">
      <c r="B131" s="61"/>
      <c r="C131" s="114"/>
      <c r="D131" s="114"/>
      <c r="E131" s="114"/>
      <c r="F131" s="114"/>
      <c r="G131" s="114"/>
      <c r="H131" s="114"/>
      <c r="I131" s="114"/>
      <c r="J131" s="114"/>
      <c r="K131" s="114"/>
      <c r="L131" s="114"/>
      <c r="M131" s="114"/>
      <c r="N131" s="114"/>
      <c r="O131" s="114"/>
      <c r="P131" s="114"/>
      <c r="Q131" s="114"/>
      <c r="R131" s="22"/>
      <c r="S131" s="66"/>
      <c r="V131" s="16"/>
      <c r="W131" s="17"/>
      <c r="X131" s="17"/>
      <c r="Y131" s="17"/>
      <c r="Z131" s="17"/>
      <c r="AA131" s="17"/>
      <c r="AB131" s="17"/>
    </row>
    <row r="132" spans="2:28" x14ac:dyDescent="0.2">
      <c r="B132" s="61"/>
      <c r="C132" s="114"/>
      <c r="D132" s="114"/>
      <c r="E132" s="114"/>
      <c r="F132" s="114"/>
      <c r="G132" s="114"/>
      <c r="H132" s="114"/>
      <c r="I132" s="114"/>
      <c r="J132" s="114"/>
      <c r="K132" s="114"/>
      <c r="L132" s="114"/>
      <c r="M132" s="114"/>
      <c r="N132" s="114"/>
      <c r="O132" s="114"/>
      <c r="P132" s="114"/>
      <c r="Q132" s="114"/>
      <c r="R132" s="22"/>
      <c r="S132" s="66"/>
    </row>
    <row r="133" spans="2:28" x14ac:dyDescent="0.2">
      <c r="B133" s="61"/>
      <c r="C133" s="114"/>
      <c r="D133" s="114"/>
      <c r="E133" s="114"/>
      <c r="F133" s="114"/>
      <c r="G133" s="114"/>
      <c r="H133" s="114"/>
      <c r="I133" s="114"/>
      <c r="J133" s="114"/>
      <c r="K133" s="114"/>
      <c r="L133" s="114"/>
      <c r="M133" s="114"/>
      <c r="N133" s="114"/>
      <c r="O133" s="114"/>
      <c r="P133" s="114"/>
      <c r="Q133" s="114"/>
      <c r="R133" s="22"/>
      <c r="S133" s="66"/>
    </row>
    <row r="134" spans="2:28" x14ac:dyDescent="0.2">
      <c r="B134" s="61"/>
      <c r="C134" s="114"/>
      <c r="D134" s="114"/>
      <c r="E134" s="114"/>
      <c r="F134" s="114"/>
      <c r="G134" s="114"/>
      <c r="H134" s="114"/>
      <c r="I134" s="114"/>
      <c r="J134" s="114"/>
      <c r="K134" s="114"/>
      <c r="L134" s="114"/>
      <c r="M134" s="114"/>
      <c r="N134" s="114"/>
      <c r="O134" s="114"/>
      <c r="P134" s="114"/>
      <c r="Q134" s="114"/>
      <c r="R134" s="22"/>
      <c r="S134" s="66"/>
    </row>
    <row r="135" spans="2:28" x14ac:dyDescent="0.2">
      <c r="B135" s="61"/>
      <c r="C135" s="114"/>
      <c r="D135" s="114"/>
      <c r="E135" s="114"/>
      <c r="F135" s="114"/>
      <c r="G135" s="114"/>
      <c r="H135" s="114"/>
      <c r="I135" s="114"/>
      <c r="J135" s="114"/>
      <c r="K135" s="114"/>
      <c r="L135" s="114"/>
      <c r="M135" s="114"/>
      <c r="N135" s="114"/>
      <c r="O135" s="114"/>
      <c r="P135" s="114"/>
      <c r="Q135" s="114"/>
      <c r="R135" s="22"/>
      <c r="S135" s="66"/>
    </row>
    <row r="136" spans="2:28" x14ac:dyDescent="0.2">
      <c r="B136" s="61"/>
      <c r="C136" s="114"/>
      <c r="D136" s="114"/>
      <c r="E136" s="114"/>
      <c r="F136" s="114"/>
      <c r="G136" s="114"/>
      <c r="H136" s="114"/>
      <c r="I136" s="114"/>
      <c r="J136" s="114"/>
      <c r="K136" s="114"/>
      <c r="L136" s="114"/>
      <c r="M136" s="114"/>
      <c r="N136" s="114"/>
      <c r="O136" s="114"/>
      <c r="P136" s="114"/>
      <c r="Q136" s="114"/>
      <c r="R136" s="22"/>
      <c r="S136" s="66"/>
    </row>
    <row r="137" spans="2:28" x14ac:dyDescent="0.2">
      <c r="B137" s="61"/>
      <c r="C137" s="114"/>
      <c r="D137" s="114"/>
      <c r="E137" s="114"/>
      <c r="F137" s="114"/>
      <c r="G137" s="114"/>
      <c r="H137" s="114"/>
      <c r="I137" s="114"/>
      <c r="J137" s="114"/>
      <c r="K137" s="114"/>
      <c r="L137" s="114"/>
      <c r="M137" s="114"/>
      <c r="N137" s="114"/>
      <c r="O137" s="114"/>
      <c r="P137" s="114"/>
      <c r="Q137" s="114"/>
      <c r="R137" s="22"/>
      <c r="S137" s="66"/>
    </row>
    <row r="138" spans="2:28" x14ac:dyDescent="0.2">
      <c r="B138" s="70"/>
      <c r="C138" s="137"/>
      <c r="D138" s="137"/>
      <c r="E138" s="137"/>
      <c r="F138" s="137"/>
      <c r="G138" s="137"/>
      <c r="H138" s="137"/>
      <c r="I138" s="137"/>
      <c r="J138" s="137"/>
      <c r="K138" s="137"/>
      <c r="L138" s="137"/>
      <c r="M138" s="137"/>
      <c r="N138" s="137"/>
      <c r="O138" s="137"/>
      <c r="P138" s="137"/>
      <c r="Q138" s="137"/>
      <c r="R138" s="65"/>
      <c r="S138" s="67"/>
    </row>
    <row r="139" spans="2:28" ht="12.75" customHeight="1" x14ac:dyDescent="0.2">
      <c r="B139" s="61"/>
      <c r="C139" s="114"/>
      <c r="D139" s="114"/>
      <c r="E139" s="114"/>
      <c r="F139" s="114"/>
      <c r="G139" s="114"/>
      <c r="H139" s="114"/>
      <c r="I139" s="114"/>
      <c r="J139" s="114"/>
      <c r="K139" s="114"/>
      <c r="L139" s="114"/>
      <c r="M139" s="114"/>
      <c r="N139" s="114"/>
      <c r="O139" s="114"/>
      <c r="P139" s="114"/>
      <c r="Q139" s="114"/>
      <c r="R139" s="22"/>
      <c r="S139" s="66"/>
    </row>
    <row r="140" spans="2:28" x14ac:dyDescent="0.2">
      <c r="B140" s="61"/>
      <c r="C140" s="172" t="s">
        <v>1361</v>
      </c>
      <c r="D140" s="172" t="s">
        <v>1379</v>
      </c>
      <c r="E140" s="22"/>
      <c r="F140" s="22"/>
      <c r="G140" s="22"/>
      <c r="H140" s="22"/>
      <c r="I140" s="22"/>
      <c r="J140" s="114"/>
      <c r="K140" s="114"/>
      <c r="L140" s="114"/>
      <c r="M140" s="114"/>
      <c r="N140" s="114"/>
      <c r="O140" s="114"/>
      <c r="P140" s="114"/>
      <c r="Q140" s="114"/>
      <c r="R140" s="22"/>
      <c r="S140" s="66"/>
    </row>
    <row r="141" spans="2:28" ht="12.75" customHeight="1" x14ac:dyDescent="0.2">
      <c r="B141" s="232"/>
      <c r="C141" s="320" t="s">
        <v>1362</v>
      </c>
      <c r="D141" s="331"/>
      <c r="E141" s="319" t="s">
        <v>1363</v>
      </c>
      <c r="F141" s="320"/>
      <c r="G141" s="319" t="s">
        <v>1364</v>
      </c>
      <c r="H141" s="320"/>
      <c r="I141" s="162" t="s">
        <v>1122</v>
      </c>
      <c r="J141" s="162" t="s">
        <v>1195</v>
      </c>
      <c r="K141" s="114"/>
      <c r="L141" s="114"/>
      <c r="M141" s="114"/>
      <c r="N141" s="114"/>
      <c r="O141" s="114"/>
      <c r="P141" s="114"/>
      <c r="Q141" s="114"/>
      <c r="R141" s="114"/>
      <c r="S141" s="66"/>
    </row>
    <row r="142" spans="2:28" x14ac:dyDescent="0.2">
      <c r="B142" s="232"/>
      <c r="C142" s="328" t="s">
        <v>1365</v>
      </c>
      <c r="D142" s="334"/>
      <c r="E142" s="335">
        <f>GETPIVOTDATA("Sum of 1 bed net",Pivot!$B$235,"Application Type",)</f>
        <v>65</v>
      </c>
      <c r="F142" s="328"/>
      <c r="G142" s="335">
        <f>GETPIVOTDATA("Sum of 1 bed net",Pivot!$B$235,"Application Type","PA")</f>
        <v>32</v>
      </c>
      <c r="H142" s="328"/>
      <c r="I142" s="160">
        <f t="shared" ref="I142:I145" si="6">SUM(E142:H142)</f>
        <v>97</v>
      </c>
      <c r="J142" s="138">
        <f>I142/$I$146</f>
        <v>0.29305135951661632</v>
      </c>
      <c r="K142" s="114"/>
      <c r="L142" s="114"/>
      <c r="M142" s="114"/>
      <c r="N142" s="114"/>
      <c r="O142" s="114"/>
      <c r="P142" s="114"/>
      <c r="Q142" s="114"/>
      <c r="R142" s="114"/>
      <c r="S142" s="66"/>
    </row>
    <row r="143" spans="2:28" x14ac:dyDescent="0.2">
      <c r="B143" s="232"/>
      <c r="C143" s="328" t="s">
        <v>1366</v>
      </c>
      <c r="D143" s="334"/>
      <c r="E143" s="335">
        <f>GETPIVOTDATA("Sum of 2 bed net",Pivot!$B$235,"Application Type",)</f>
        <v>143</v>
      </c>
      <c r="F143" s="328"/>
      <c r="G143" s="335">
        <f>GETPIVOTDATA("Sum of 2 bed net",Pivot!$B$235,"Application Type","PA")</f>
        <v>11</v>
      </c>
      <c r="H143" s="328"/>
      <c r="I143" s="160">
        <f>SUM(E143:H143)</f>
        <v>154</v>
      </c>
      <c r="J143" s="138">
        <f>I143/$I$146</f>
        <v>0.46525679758308158</v>
      </c>
      <c r="K143" s="114"/>
      <c r="L143" s="114"/>
      <c r="M143" s="114"/>
      <c r="N143" s="114"/>
      <c r="O143" s="114"/>
      <c r="P143" s="114"/>
      <c r="Q143" s="114"/>
      <c r="R143" s="114"/>
      <c r="S143" s="66"/>
    </row>
    <row r="144" spans="2:28" x14ac:dyDescent="0.2">
      <c r="B144" s="232"/>
      <c r="C144" s="328" t="s">
        <v>1367</v>
      </c>
      <c r="D144" s="334"/>
      <c r="E144" s="335">
        <f>GETPIVOTDATA("Sum of 3 bed net",Pivot!$B$235,"Application Type",)</f>
        <v>60</v>
      </c>
      <c r="F144" s="328"/>
      <c r="G144" s="335">
        <f>GETPIVOTDATA("Sum of 3 bed net",Pivot!$B$235,"Application Type","PA")</f>
        <v>1</v>
      </c>
      <c r="H144" s="328"/>
      <c r="I144" s="160">
        <f t="shared" si="6"/>
        <v>61</v>
      </c>
      <c r="J144" s="138">
        <f>I144/$I$146</f>
        <v>0.18429003021148035</v>
      </c>
      <c r="K144" s="114"/>
      <c r="L144" s="114"/>
      <c r="M144" s="114"/>
      <c r="N144" s="114"/>
      <c r="O144" s="114"/>
      <c r="P144" s="114"/>
      <c r="Q144" s="114"/>
      <c r="R144" s="114"/>
      <c r="S144" s="66"/>
    </row>
    <row r="145" spans="2:19" x14ac:dyDescent="0.2">
      <c r="B145" s="232"/>
      <c r="C145" s="328" t="s">
        <v>1368</v>
      </c>
      <c r="D145" s="334"/>
      <c r="E145" s="335">
        <f>GETPIVOTDATA("Sum of 4 bed net",Pivot!$B$235,"Application Type",)+GETPIVOTDATA("Sum of 5 bed net",Pivot!$B$235,"Application Type",)+GETPIVOTDATA("Sum of 6 bed net",Pivot!$B$235,"Application Type",)</f>
        <v>17</v>
      </c>
      <c r="F145" s="328"/>
      <c r="G145" s="335">
        <f>GETPIVOTDATA("Sum of 4 bed net",Pivot!$B$235,"Application Type","PA")</f>
        <v>2</v>
      </c>
      <c r="H145" s="328"/>
      <c r="I145" s="160">
        <f t="shared" si="6"/>
        <v>19</v>
      </c>
      <c r="J145" s="138">
        <f>I145/$I$146</f>
        <v>5.7401812688821753E-2</v>
      </c>
      <c r="K145" s="114"/>
      <c r="L145" s="114"/>
      <c r="M145" s="114"/>
      <c r="N145" s="114"/>
      <c r="O145" s="114"/>
      <c r="P145" s="114"/>
      <c r="Q145" s="114"/>
      <c r="R145" s="114"/>
      <c r="S145" s="66"/>
    </row>
    <row r="146" spans="2:19" x14ac:dyDescent="0.2">
      <c r="B146" s="232"/>
      <c r="C146" s="363" t="s">
        <v>1122</v>
      </c>
      <c r="D146" s="312"/>
      <c r="E146" s="364">
        <f>SUM(E142:F145)</f>
        <v>285</v>
      </c>
      <c r="F146" s="364"/>
      <c r="G146" s="365">
        <f>SUM(G142:H145)</f>
        <v>46</v>
      </c>
      <c r="H146" s="366"/>
      <c r="I146" s="164">
        <f>SUM(E146:H146)</f>
        <v>331</v>
      </c>
      <c r="J146" s="166">
        <f>SUM(J142:J145)</f>
        <v>1</v>
      </c>
      <c r="K146" s="114"/>
      <c r="L146" s="114"/>
      <c r="M146" s="114"/>
      <c r="N146" s="114"/>
      <c r="O146" s="114"/>
      <c r="P146" s="114"/>
      <c r="Q146" s="114"/>
      <c r="R146" s="22"/>
      <c r="S146" s="66"/>
    </row>
    <row r="147" spans="2:19" x14ac:dyDescent="0.2">
      <c r="B147" s="232"/>
      <c r="C147" s="312" t="s">
        <v>1369</v>
      </c>
      <c r="D147" s="354"/>
      <c r="E147" s="355">
        <f>E146/H118</f>
        <v>0.86102719033232633</v>
      </c>
      <c r="F147" s="355"/>
      <c r="G147" s="356">
        <f>G146/H118</f>
        <v>0.13897280966767372</v>
      </c>
      <c r="H147" s="356"/>
      <c r="I147" s="313"/>
      <c r="J147" s="314"/>
      <c r="K147" s="114"/>
      <c r="L147" s="114"/>
      <c r="M147" s="114"/>
      <c r="N147" s="114"/>
      <c r="O147" s="114"/>
      <c r="P147" s="114"/>
      <c r="Q147" s="114"/>
      <c r="R147" s="22"/>
      <c r="S147" s="66"/>
    </row>
    <row r="148" spans="2:19" x14ac:dyDescent="0.2">
      <c r="B148" s="61"/>
      <c r="C148" s="22"/>
      <c r="D148" s="22"/>
      <c r="E148" s="22"/>
      <c r="F148" s="22"/>
      <c r="G148" s="22"/>
      <c r="H148" s="22"/>
      <c r="I148" s="22"/>
      <c r="J148" s="114"/>
      <c r="K148" s="114"/>
      <c r="L148" s="114"/>
      <c r="M148" s="114"/>
      <c r="N148" s="114"/>
      <c r="O148" s="114"/>
      <c r="P148" s="114"/>
      <c r="Q148" s="114"/>
      <c r="R148" s="22"/>
      <c r="S148" s="66"/>
    </row>
    <row r="149" spans="2:19" x14ac:dyDescent="0.2">
      <c r="B149" s="61"/>
      <c r="C149" s="22"/>
      <c r="D149" s="22"/>
      <c r="E149" s="22"/>
      <c r="F149" s="22"/>
      <c r="G149" s="22"/>
      <c r="H149" s="22"/>
      <c r="I149" s="22"/>
      <c r="J149" s="114"/>
      <c r="K149" s="114"/>
      <c r="L149" s="114"/>
      <c r="M149" s="114"/>
      <c r="N149" s="114"/>
      <c r="O149" s="114"/>
      <c r="P149" s="114"/>
      <c r="Q149" s="114"/>
      <c r="R149" s="22"/>
      <c r="S149" s="66"/>
    </row>
    <row r="150" spans="2:19" x14ac:dyDescent="0.2">
      <c r="B150" s="61"/>
      <c r="C150" s="22"/>
      <c r="D150" s="22"/>
      <c r="E150" s="22"/>
      <c r="F150" s="22"/>
      <c r="G150" s="22"/>
      <c r="H150" s="22"/>
      <c r="I150" s="22"/>
      <c r="J150" s="114"/>
      <c r="K150" s="114"/>
      <c r="L150" s="114"/>
      <c r="M150" s="114"/>
      <c r="N150" s="114"/>
      <c r="O150" s="114"/>
      <c r="P150" s="114"/>
      <c r="Q150" s="114"/>
      <c r="R150" s="22"/>
      <c r="S150" s="66"/>
    </row>
    <row r="151" spans="2:19" x14ac:dyDescent="0.2">
      <c r="B151" s="61"/>
      <c r="C151" s="22"/>
      <c r="D151" s="22"/>
      <c r="E151" s="22"/>
      <c r="F151" s="22"/>
      <c r="G151" s="22"/>
      <c r="H151" s="22"/>
      <c r="I151" s="22"/>
      <c r="J151" s="114"/>
      <c r="K151" s="114"/>
      <c r="L151" s="114"/>
      <c r="M151" s="114"/>
      <c r="N151" s="114"/>
      <c r="O151" s="114"/>
      <c r="P151" s="114"/>
      <c r="Q151" s="114"/>
      <c r="R151" s="22"/>
      <c r="S151" s="66"/>
    </row>
    <row r="152" spans="2:19" x14ac:dyDescent="0.2">
      <c r="B152" s="61"/>
      <c r="C152" s="22"/>
      <c r="D152" s="22"/>
      <c r="E152" s="22"/>
      <c r="F152" s="22"/>
      <c r="G152" s="22"/>
      <c r="H152" s="22"/>
      <c r="I152" s="22"/>
      <c r="J152" s="114"/>
      <c r="K152" s="114"/>
      <c r="L152" s="114"/>
      <c r="M152" s="114"/>
      <c r="N152" s="114"/>
      <c r="O152" s="114"/>
      <c r="P152" s="114"/>
      <c r="Q152" s="114"/>
      <c r="R152" s="22"/>
      <c r="S152" s="66"/>
    </row>
    <row r="153" spans="2:19" x14ac:dyDescent="0.2">
      <c r="B153" s="61"/>
      <c r="C153" s="22"/>
      <c r="D153" s="22"/>
      <c r="E153" s="22"/>
      <c r="F153" s="22"/>
      <c r="G153" s="22"/>
      <c r="H153" s="22"/>
      <c r="I153" s="22"/>
      <c r="J153" s="114"/>
      <c r="K153" s="114"/>
      <c r="L153" s="114"/>
      <c r="M153" s="114"/>
      <c r="N153" s="114"/>
      <c r="O153" s="114"/>
      <c r="P153" s="114"/>
      <c r="Q153" s="114"/>
      <c r="R153" s="22"/>
      <c r="S153" s="66"/>
    </row>
    <row r="154" spans="2:19" x14ac:dyDescent="0.2">
      <c r="B154" s="61"/>
      <c r="C154" s="22"/>
      <c r="D154" s="22"/>
      <c r="E154" s="22"/>
      <c r="F154" s="22"/>
      <c r="G154" s="22"/>
      <c r="H154" s="22"/>
      <c r="I154" s="22"/>
      <c r="J154" s="114"/>
      <c r="K154" s="114"/>
      <c r="L154" s="114"/>
      <c r="M154" s="114"/>
      <c r="N154" s="114"/>
      <c r="O154" s="114"/>
      <c r="P154" s="114"/>
      <c r="Q154" s="114"/>
      <c r="R154" s="22"/>
      <c r="S154" s="66"/>
    </row>
    <row r="155" spans="2:19" x14ac:dyDescent="0.2">
      <c r="B155" s="61"/>
      <c r="C155" s="172" t="s">
        <v>1370</v>
      </c>
      <c r="D155" s="172" t="s">
        <v>1583</v>
      </c>
      <c r="E155" s="22"/>
      <c r="F155" s="22"/>
      <c r="G155" s="22"/>
      <c r="H155" s="22"/>
      <c r="I155" s="22"/>
      <c r="J155" s="114"/>
      <c r="K155" s="114"/>
      <c r="L155" s="114"/>
      <c r="M155" s="114"/>
      <c r="N155" s="114"/>
      <c r="O155" s="114"/>
      <c r="P155" s="114"/>
      <c r="Q155" s="114"/>
      <c r="R155" s="22"/>
      <c r="S155" s="66"/>
    </row>
    <row r="156" spans="2:19" x14ac:dyDescent="0.2">
      <c r="B156" s="232"/>
      <c r="C156" s="320" t="s">
        <v>1362</v>
      </c>
      <c r="D156" s="331"/>
      <c r="E156" s="319" t="s">
        <v>1363</v>
      </c>
      <c r="F156" s="320"/>
      <c r="G156" s="319" t="s">
        <v>1364</v>
      </c>
      <c r="H156" s="320"/>
      <c r="I156" s="319" t="s">
        <v>1122</v>
      </c>
      <c r="J156" s="320"/>
      <c r="K156" s="319" t="s">
        <v>1391</v>
      </c>
      <c r="L156" s="320"/>
      <c r="M156" s="319" t="s">
        <v>1392</v>
      </c>
      <c r="N156" s="320"/>
      <c r="O156" s="114"/>
      <c r="P156" s="114"/>
      <c r="Q156" s="114"/>
      <c r="R156" s="22"/>
      <c r="S156" s="66"/>
    </row>
    <row r="157" spans="2:19" x14ac:dyDescent="0.2">
      <c r="B157" s="232"/>
      <c r="C157" s="327" t="s">
        <v>1129</v>
      </c>
      <c r="D157" s="328"/>
      <c r="E157" s="323">
        <v>304</v>
      </c>
      <c r="F157" s="324"/>
      <c r="G157" s="323">
        <v>156</v>
      </c>
      <c r="H157" s="324"/>
      <c r="I157" s="323">
        <f>SUM(E157:H157)</f>
        <v>460</v>
      </c>
      <c r="J157" s="324"/>
      <c r="K157" s="317">
        <f>E157/I157</f>
        <v>0.66086956521739126</v>
      </c>
      <c r="L157" s="318"/>
      <c r="M157" s="317">
        <f>G157/I157</f>
        <v>0.33913043478260868</v>
      </c>
      <c r="N157" s="318"/>
      <c r="O157" s="114"/>
      <c r="P157" s="114"/>
      <c r="Q157" s="114"/>
      <c r="R157" s="22"/>
      <c r="S157" s="66"/>
    </row>
    <row r="158" spans="2:19" x14ac:dyDescent="0.2">
      <c r="B158" s="232"/>
      <c r="C158" s="327" t="s">
        <v>1130</v>
      </c>
      <c r="D158" s="328"/>
      <c r="E158" s="323">
        <v>294</v>
      </c>
      <c r="F158" s="324"/>
      <c r="G158" s="323">
        <v>88</v>
      </c>
      <c r="H158" s="324"/>
      <c r="I158" s="323">
        <f>SUM(E158:H158)</f>
        <v>382</v>
      </c>
      <c r="J158" s="324"/>
      <c r="K158" s="317">
        <f>E158/I158</f>
        <v>0.76963350785340312</v>
      </c>
      <c r="L158" s="318"/>
      <c r="M158" s="317">
        <f>G158/I158</f>
        <v>0.23036649214659685</v>
      </c>
      <c r="N158" s="318"/>
      <c r="O158" s="114"/>
      <c r="P158" s="114"/>
      <c r="Q158" s="114"/>
      <c r="R158" s="22"/>
      <c r="S158" s="66"/>
    </row>
    <row r="159" spans="2:19" x14ac:dyDescent="0.2">
      <c r="B159" s="232"/>
      <c r="C159" s="327" t="s">
        <v>1131</v>
      </c>
      <c r="D159" s="328"/>
      <c r="E159" s="323">
        <v>360</v>
      </c>
      <c r="F159" s="324"/>
      <c r="G159" s="323">
        <v>59</v>
      </c>
      <c r="H159" s="324"/>
      <c r="I159" s="323">
        <f>SUM(E159:H159)</f>
        <v>419</v>
      </c>
      <c r="J159" s="324"/>
      <c r="K159" s="317">
        <f>E159/I159</f>
        <v>0.85918854415274459</v>
      </c>
      <c r="L159" s="318"/>
      <c r="M159" s="317">
        <f>G159/I159</f>
        <v>0.14081145584725538</v>
      </c>
      <c r="N159" s="318"/>
      <c r="O159" s="114"/>
      <c r="P159" s="114"/>
      <c r="Q159" s="114"/>
      <c r="R159" s="22"/>
      <c r="S159" s="66"/>
    </row>
    <row r="160" spans="2:19" x14ac:dyDescent="0.2">
      <c r="B160" s="232"/>
      <c r="C160" s="329" t="s">
        <v>1237</v>
      </c>
      <c r="D160" s="330"/>
      <c r="E160" s="325">
        <v>287</v>
      </c>
      <c r="F160" s="326"/>
      <c r="G160" s="325">
        <v>45</v>
      </c>
      <c r="H160" s="326"/>
      <c r="I160" s="325">
        <f>SUM(E160:H160)</f>
        <v>332</v>
      </c>
      <c r="J160" s="326"/>
      <c r="K160" s="317">
        <f>E160/I160</f>
        <v>0.86445783132530118</v>
      </c>
      <c r="L160" s="318"/>
      <c r="M160" s="317">
        <f>G160/I160</f>
        <v>0.13554216867469879</v>
      </c>
      <c r="N160" s="318"/>
      <c r="O160" s="114"/>
      <c r="P160" s="114"/>
      <c r="Q160" s="114"/>
      <c r="R160" s="22"/>
      <c r="S160" s="66"/>
    </row>
    <row r="161" spans="2:19" x14ac:dyDescent="0.2">
      <c r="B161" s="232"/>
      <c r="C161" s="311" t="s">
        <v>1122</v>
      </c>
      <c r="D161" s="312"/>
      <c r="E161" s="321">
        <f>SUM(E157:F160)</f>
        <v>1245</v>
      </c>
      <c r="F161" s="322"/>
      <c r="G161" s="321">
        <f>SUM(G157:H160)</f>
        <v>348</v>
      </c>
      <c r="H161" s="322"/>
      <c r="I161" s="321">
        <f>SUM(I157:J160)</f>
        <v>1593</v>
      </c>
      <c r="J161" s="322"/>
      <c r="K161" s="313"/>
      <c r="L161" s="314"/>
      <c r="M161" s="315"/>
      <c r="N161" s="316"/>
      <c r="O161" s="114"/>
      <c r="P161" s="114"/>
      <c r="Q161" s="114"/>
      <c r="R161" s="22"/>
      <c r="S161" s="66"/>
    </row>
    <row r="162" spans="2:19" x14ac:dyDescent="0.2">
      <c r="B162" s="232"/>
      <c r="C162" s="311" t="s">
        <v>1369</v>
      </c>
      <c r="D162" s="312"/>
      <c r="E162" s="313">
        <f>E161/I161</f>
        <v>0.78154425612052736</v>
      </c>
      <c r="F162" s="314"/>
      <c r="G162" s="315">
        <f>G161/I161</f>
        <v>0.2184557438794727</v>
      </c>
      <c r="H162" s="316"/>
      <c r="I162" s="313"/>
      <c r="J162" s="314"/>
      <c r="K162" s="313"/>
      <c r="L162" s="314"/>
      <c r="M162" s="313"/>
      <c r="N162" s="314"/>
      <c r="O162" s="114"/>
      <c r="P162" s="114"/>
      <c r="Q162" s="114"/>
      <c r="R162" s="22"/>
      <c r="S162" s="66"/>
    </row>
    <row r="163" spans="2:19" x14ac:dyDescent="0.2">
      <c r="B163" s="61"/>
      <c r="C163" s="22"/>
      <c r="D163" s="22"/>
      <c r="E163" s="22"/>
      <c r="F163" s="22"/>
      <c r="G163" s="22"/>
      <c r="H163" s="22"/>
      <c r="I163" s="22"/>
      <c r="J163" s="114"/>
      <c r="K163" s="114"/>
      <c r="L163" s="114"/>
      <c r="M163" s="114"/>
      <c r="N163" s="114"/>
      <c r="O163" s="114"/>
      <c r="P163" s="114"/>
      <c r="Q163" s="114"/>
      <c r="R163" s="22"/>
      <c r="S163" s="66"/>
    </row>
    <row r="164" spans="2:19" x14ac:dyDescent="0.2">
      <c r="B164" s="61"/>
      <c r="C164" s="22"/>
      <c r="D164" s="22"/>
      <c r="E164" s="22"/>
      <c r="F164" s="22"/>
      <c r="G164" s="22"/>
      <c r="H164" s="22"/>
      <c r="I164" s="22"/>
      <c r="J164" s="114"/>
      <c r="K164" s="114"/>
      <c r="L164" s="114"/>
      <c r="M164" s="114"/>
      <c r="N164" s="114"/>
      <c r="O164" s="114"/>
      <c r="P164" s="114"/>
      <c r="Q164" s="114"/>
      <c r="R164" s="22"/>
      <c r="S164" s="66"/>
    </row>
    <row r="165" spans="2:19" x14ac:dyDescent="0.2">
      <c r="B165" s="61"/>
      <c r="C165" s="22"/>
      <c r="D165" s="22"/>
      <c r="E165" s="22"/>
      <c r="F165" s="22"/>
      <c r="G165" s="22"/>
      <c r="H165" s="22"/>
      <c r="I165" s="22"/>
      <c r="J165" s="114"/>
      <c r="K165" s="114"/>
      <c r="L165" s="114"/>
      <c r="M165" s="114"/>
      <c r="N165" s="114"/>
      <c r="O165" s="114"/>
      <c r="P165" s="114"/>
      <c r="Q165" s="114"/>
      <c r="R165" s="22"/>
      <c r="S165" s="66"/>
    </row>
    <row r="166" spans="2:19" x14ac:dyDescent="0.2">
      <c r="B166" s="61"/>
      <c r="C166" s="22"/>
      <c r="D166" s="22"/>
      <c r="E166" s="62"/>
      <c r="F166" s="22"/>
      <c r="G166" s="22"/>
      <c r="H166" s="22"/>
      <c r="I166" s="22"/>
      <c r="J166" s="114"/>
      <c r="K166" s="114"/>
      <c r="L166" s="114"/>
      <c r="M166" s="114"/>
      <c r="N166" s="114"/>
      <c r="O166" s="114"/>
      <c r="P166" s="114"/>
      <c r="Q166" s="114"/>
      <c r="R166" s="22"/>
      <c r="S166" s="66"/>
    </row>
    <row r="167" spans="2:19" x14ac:dyDescent="0.2">
      <c r="B167" s="61"/>
      <c r="C167" s="172" t="s">
        <v>1390</v>
      </c>
      <c r="D167" s="172" t="s">
        <v>1371</v>
      </c>
      <c r="E167" s="62"/>
      <c r="F167" s="22"/>
      <c r="G167" s="22"/>
      <c r="H167" s="22"/>
      <c r="I167" s="22"/>
      <c r="J167" s="114"/>
      <c r="K167" s="114"/>
      <c r="L167" s="114"/>
      <c r="M167" s="114"/>
      <c r="N167" s="114"/>
      <c r="O167" s="114"/>
      <c r="P167" s="114"/>
      <c r="Q167" s="114"/>
      <c r="R167" s="22"/>
      <c r="S167" s="66"/>
    </row>
    <row r="168" spans="2:19" x14ac:dyDescent="0.2">
      <c r="B168" s="232"/>
      <c r="C168" s="163" t="s">
        <v>1177</v>
      </c>
      <c r="D168" s="162" t="s">
        <v>1195</v>
      </c>
      <c r="E168" s="62"/>
      <c r="F168" s="22"/>
      <c r="G168" s="22"/>
      <c r="H168" s="22"/>
      <c r="I168" s="22"/>
      <c r="J168" s="22"/>
      <c r="K168" s="22"/>
      <c r="L168" s="114"/>
      <c r="M168" s="114"/>
      <c r="N168" s="114"/>
      <c r="O168" s="114"/>
      <c r="P168" s="114"/>
      <c r="Q168" s="114"/>
      <c r="R168" s="22"/>
      <c r="S168" s="66"/>
    </row>
    <row r="169" spans="2:19" x14ac:dyDescent="0.2">
      <c r="B169" s="232"/>
      <c r="C169" s="161" t="s">
        <v>1180</v>
      </c>
      <c r="D169" s="138">
        <v>0.5</v>
      </c>
      <c r="E169" s="62"/>
      <c r="F169" s="22"/>
      <c r="G169" s="22"/>
      <c r="H169" s="22"/>
      <c r="I169" s="22"/>
      <c r="J169" s="22"/>
      <c r="K169" s="22"/>
      <c r="L169" s="114"/>
      <c r="M169" s="114"/>
      <c r="N169" s="114"/>
      <c r="O169" s="114"/>
      <c r="P169" s="114"/>
      <c r="Q169" s="114"/>
      <c r="R169" s="22"/>
      <c r="S169" s="66"/>
    </row>
    <row r="170" spans="2:19" x14ac:dyDescent="0.2">
      <c r="B170" s="232"/>
      <c r="C170" s="161" t="s">
        <v>1181</v>
      </c>
      <c r="D170" s="138">
        <v>0.72</v>
      </c>
      <c r="E170" s="62"/>
      <c r="F170" s="22"/>
      <c r="G170" s="22"/>
      <c r="H170" s="22"/>
      <c r="I170" s="22"/>
      <c r="J170" s="22"/>
      <c r="K170" s="22"/>
      <c r="L170" s="22"/>
      <c r="M170" s="22"/>
      <c r="N170" s="22"/>
      <c r="O170" s="22"/>
      <c r="P170" s="22"/>
      <c r="Q170" s="114"/>
      <c r="R170" s="22"/>
      <c r="S170" s="66"/>
    </row>
    <row r="171" spans="2:19" x14ac:dyDescent="0.2">
      <c r="B171" s="232"/>
      <c r="C171" s="161" t="s">
        <v>1182</v>
      </c>
      <c r="D171" s="138">
        <v>0.83</v>
      </c>
      <c r="E171" s="62"/>
      <c r="F171" s="172" t="s">
        <v>1388</v>
      </c>
      <c r="G171" s="172" t="s">
        <v>1372</v>
      </c>
      <c r="H171" s="209"/>
      <c r="I171" s="209"/>
      <c r="J171" s="209"/>
      <c r="K171" s="209"/>
      <c r="L171" s="22"/>
      <c r="M171" s="22"/>
      <c r="N171" s="22"/>
      <c r="O171" s="22"/>
      <c r="P171" s="22"/>
      <c r="Q171" s="114"/>
      <c r="R171" s="22"/>
      <c r="S171" s="66"/>
    </row>
    <row r="172" spans="2:19" x14ac:dyDescent="0.2">
      <c r="B172" s="232"/>
      <c r="C172" s="161" t="s">
        <v>1183</v>
      </c>
      <c r="D172" s="138">
        <v>0.41</v>
      </c>
      <c r="E172" s="62"/>
      <c r="F172" s="63" t="s">
        <v>1177</v>
      </c>
      <c r="G172" s="63" t="s">
        <v>1373</v>
      </c>
      <c r="H172" s="63" t="s">
        <v>1374</v>
      </c>
      <c r="I172" s="63" t="s">
        <v>1122</v>
      </c>
      <c r="J172" s="63" t="s">
        <v>1375</v>
      </c>
      <c r="K172" s="63" t="s">
        <v>1376</v>
      </c>
      <c r="L172" s="114"/>
      <c r="M172" s="114"/>
      <c r="N172" s="114"/>
      <c r="O172" s="114"/>
      <c r="P172" s="114"/>
      <c r="Q172" s="114"/>
      <c r="R172" s="22"/>
      <c r="S172" s="66"/>
    </row>
    <row r="173" spans="2:19" x14ac:dyDescent="0.2">
      <c r="B173" s="232"/>
      <c r="C173" s="229" t="s">
        <v>1184</v>
      </c>
      <c r="D173" s="138">
        <v>0.27</v>
      </c>
      <c r="E173" s="62"/>
      <c r="F173" s="140" t="s">
        <v>1126</v>
      </c>
      <c r="G173" s="154">
        <v>63</v>
      </c>
      <c r="H173" s="154">
        <v>172</v>
      </c>
      <c r="I173" s="154">
        <f t="shared" ref="I173:I177" si="7">SUM(G173:H173)</f>
        <v>235</v>
      </c>
      <c r="J173" s="141">
        <f>G173/I173</f>
        <v>0.26808510638297872</v>
      </c>
      <c r="K173" s="141">
        <f>H173/I173</f>
        <v>0.73191489361702122</v>
      </c>
      <c r="L173" s="114"/>
      <c r="M173" s="114"/>
      <c r="N173" s="114"/>
      <c r="O173" s="114"/>
      <c r="P173" s="114"/>
      <c r="Q173" s="114"/>
      <c r="R173" s="22"/>
      <c r="S173" s="66"/>
    </row>
    <row r="174" spans="2:19" x14ac:dyDescent="0.2">
      <c r="B174" s="232"/>
      <c r="C174" s="229" t="s">
        <v>1185</v>
      </c>
      <c r="D174" s="138">
        <v>0.61</v>
      </c>
      <c r="E174" s="62"/>
      <c r="F174" s="140" t="s">
        <v>1127</v>
      </c>
      <c r="G174" s="154">
        <v>238</v>
      </c>
      <c r="H174" s="154">
        <v>66</v>
      </c>
      <c r="I174" s="154">
        <f t="shared" si="7"/>
        <v>304</v>
      </c>
      <c r="J174" s="141">
        <f>G174/I174</f>
        <v>0.78289473684210531</v>
      </c>
      <c r="K174" s="141">
        <f>H174/I174</f>
        <v>0.21710526315789475</v>
      </c>
      <c r="L174" s="114"/>
      <c r="M174" s="114"/>
      <c r="N174" s="114"/>
      <c r="O174" s="114"/>
      <c r="P174" s="114"/>
      <c r="Q174" s="114"/>
      <c r="R174" s="22"/>
      <c r="S174" s="66"/>
    </row>
    <row r="175" spans="2:19" x14ac:dyDescent="0.2">
      <c r="B175" s="232"/>
      <c r="C175" s="161" t="s">
        <v>1186</v>
      </c>
      <c r="D175" s="138">
        <v>7.0000000000000007E-2</v>
      </c>
      <c r="E175" s="62"/>
      <c r="F175" s="140" t="s">
        <v>1128</v>
      </c>
      <c r="G175" s="154">
        <v>304</v>
      </c>
      <c r="H175" s="154">
        <v>187</v>
      </c>
      <c r="I175" s="154">
        <f t="shared" si="7"/>
        <v>491</v>
      </c>
      <c r="J175" s="141">
        <f>G175/I175</f>
        <v>0.61914460285132378</v>
      </c>
      <c r="K175" s="141">
        <f>H175/I175</f>
        <v>0.38085539714867617</v>
      </c>
      <c r="L175" s="114"/>
      <c r="M175" s="114"/>
      <c r="N175" s="114"/>
      <c r="O175" s="114"/>
      <c r="P175" s="114"/>
      <c r="Q175" s="114"/>
      <c r="R175" s="22"/>
      <c r="S175" s="66"/>
    </row>
    <row r="176" spans="2:19" x14ac:dyDescent="0.2">
      <c r="B176" s="232"/>
      <c r="C176" s="161" t="s">
        <v>1187</v>
      </c>
      <c r="D176" s="138">
        <v>0.67</v>
      </c>
      <c r="E176" s="62"/>
      <c r="F176" s="140" t="s">
        <v>1129</v>
      </c>
      <c r="G176" s="154">
        <v>242</v>
      </c>
      <c r="H176" s="154">
        <v>218</v>
      </c>
      <c r="I176" s="154">
        <f t="shared" si="7"/>
        <v>460</v>
      </c>
      <c r="J176" s="141">
        <f>G176/I176</f>
        <v>0.52608695652173909</v>
      </c>
      <c r="K176" s="141">
        <f>H176/I176</f>
        <v>0.47391304347826085</v>
      </c>
      <c r="L176" s="114"/>
      <c r="M176" s="114"/>
      <c r="N176" s="114"/>
      <c r="O176" s="114"/>
      <c r="P176" s="114"/>
      <c r="Q176" s="114"/>
      <c r="R176" s="22"/>
      <c r="S176" s="66"/>
    </row>
    <row r="177" spans="2:19" x14ac:dyDescent="0.2">
      <c r="B177" s="232"/>
      <c r="C177" s="161" t="s">
        <v>1124</v>
      </c>
      <c r="D177" s="138">
        <v>0.3</v>
      </c>
      <c r="E177" s="62"/>
      <c r="F177" s="140" t="s">
        <v>1130</v>
      </c>
      <c r="G177" s="154">
        <v>165</v>
      </c>
      <c r="H177" s="154">
        <v>217</v>
      </c>
      <c r="I177" s="154">
        <f t="shared" si="7"/>
        <v>382</v>
      </c>
      <c r="J177" s="141">
        <f t="shared" ref="J177:J178" si="8">G177/I177</f>
        <v>0.43193717277486909</v>
      </c>
      <c r="K177" s="141">
        <f t="shared" ref="K177:K178" si="9">H177/I177</f>
        <v>0.56806282722513091</v>
      </c>
      <c r="L177" s="114"/>
      <c r="M177" s="114"/>
      <c r="N177" s="114"/>
      <c r="O177" s="114"/>
      <c r="P177" s="114"/>
      <c r="Q177" s="114"/>
      <c r="R177" s="22"/>
      <c r="S177" s="66"/>
    </row>
    <row r="178" spans="2:19" x14ac:dyDescent="0.2">
      <c r="B178" s="232"/>
      <c r="C178" s="161" t="s">
        <v>1125</v>
      </c>
      <c r="D178" s="138">
        <v>0.79</v>
      </c>
      <c r="E178" s="64"/>
      <c r="F178" s="140" t="s">
        <v>1131</v>
      </c>
      <c r="G178" s="154">
        <v>125</v>
      </c>
      <c r="H178" s="154">
        <v>294</v>
      </c>
      <c r="I178" s="154">
        <f t="shared" ref="I178" si="10">SUM(G178:H178)</f>
        <v>419</v>
      </c>
      <c r="J178" s="141">
        <f t="shared" si="8"/>
        <v>0.29832935560859186</v>
      </c>
      <c r="K178" s="141">
        <f t="shared" si="9"/>
        <v>0.70167064439140814</v>
      </c>
      <c r="L178" s="114"/>
      <c r="M178" s="114"/>
      <c r="N178" s="114"/>
      <c r="O178" s="114"/>
      <c r="P178" s="114"/>
      <c r="Q178" s="114"/>
      <c r="R178" s="22"/>
      <c r="S178" s="66"/>
    </row>
    <row r="179" spans="2:19" x14ac:dyDescent="0.2">
      <c r="B179" s="232"/>
      <c r="C179" s="161" t="s">
        <v>1126</v>
      </c>
      <c r="D179" s="138">
        <v>0.73</v>
      </c>
      <c r="E179" s="62"/>
      <c r="F179" s="139" t="s">
        <v>1237</v>
      </c>
      <c r="G179" s="154">
        <f>GETPIVOTDATA("Net Dwellings",Pivot!$B$258,"Large Site Completion",)</f>
        <v>98</v>
      </c>
      <c r="H179" s="154">
        <f>GETPIVOTDATA("Net Dwellings",Pivot!$B$258,"Large Site Completion","Y")</f>
        <v>233</v>
      </c>
      <c r="I179" s="154">
        <f t="shared" ref="I179" si="11">SUM(G179:H179)</f>
        <v>331</v>
      </c>
      <c r="J179" s="141">
        <f>G179/I179</f>
        <v>0.29607250755287007</v>
      </c>
      <c r="K179" s="141">
        <f>H179/I179</f>
        <v>0.70392749244712993</v>
      </c>
      <c r="L179" s="114"/>
      <c r="M179" s="114"/>
      <c r="N179" s="114"/>
      <c r="O179" s="114"/>
      <c r="P179" s="114"/>
      <c r="Q179" s="114"/>
      <c r="R179" s="22"/>
      <c r="S179" s="66"/>
    </row>
    <row r="180" spans="2:19" x14ac:dyDescent="0.2">
      <c r="B180" s="232"/>
      <c r="C180" s="161" t="s">
        <v>1127</v>
      </c>
      <c r="D180" s="138">
        <v>0.22</v>
      </c>
      <c r="E180" s="22"/>
      <c r="F180" s="63" t="s">
        <v>1377</v>
      </c>
      <c r="G180" s="155">
        <f>SUM(G173:G179)</f>
        <v>1235</v>
      </c>
      <c r="H180" s="155">
        <f>SUM(H173:H179)</f>
        <v>1387</v>
      </c>
      <c r="I180" s="155">
        <f>SUM(I173:I179)</f>
        <v>2622</v>
      </c>
      <c r="J180" s="156">
        <f>G180/I180</f>
        <v>0.47101449275362317</v>
      </c>
      <c r="K180" s="156">
        <f>H180/I180</f>
        <v>0.52898550724637683</v>
      </c>
      <c r="L180" s="114"/>
      <c r="M180" s="114"/>
      <c r="N180" s="114"/>
      <c r="O180" s="114"/>
      <c r="P180" s="114"/>
      <c r="Q180" s="114"/>
      <c r="R180" s="22"/>
      <c r="S180" s="66"/>
    </row>
    <row r="181" spans="2:19" x14ac:dyDescent="0.2">
      <c r="B181" s="232"/>
      <c r="C181" s="161" t="s">
        <v>1128</v>
      </c>
      <c r="D181" s="138">
        <v>0.38</v>
      </c>
      <c r="E181" s="22"/>
      <c r="F181" s="63" t="s">
        <v>1378</v>
      </c>
      <c r="G181" s="155">
        <f>AVERAGE(G173:G179)</f>
        <v>176.42857142857142</v>
      </c>
      <c r="H181" s="155">
        <f>AVERAGE(H173:H179)</f>
        <v>198.14285714285714</v>
      </c>
      <c r="I181" s="155">
        <f>AVERAGE(I173:I179)</f>
        <v>374.57142857142856</v>
      </c>
      <c r="J181" s="156">
        <f>AVERAGE(J173:J179)</f>
        <v>0.46036434836206824</v>
      </c>
      <c r="K181" s="156">
        <f>AVERAGE(K173:K179)</f>
        <v>0.5396356516379317</v>
      </c>
      <c r="L181" s="114"/>
      <c r="M181" s="114"/>
      <c r="N181" s="114"/>
      <c r="O181" s="114"/>
      <c r="P181" s="114"/>
      <c r="Q181" s="114"/>
      <c r="R181" s="22"/>
      <c r="S181" s="66"/>
    </row>
    <row r="182" spans="2:19" x14ac:dyDescent="0.2">
      <c r="B182" s="232"/>
      <c r="C182" s="161" t="s">
        <v>1129</v>
      </c>
      <c r="D182" s="138">
        <v>0.47</v>
      </c>
      <c r="E182" s="22"/>
      <c r="F182" s="22"/>
      <c r="G182" s="22"/>
      <c r="H182" s="22"/>
      <c r="I182" s="22"/>
      <c r="J182" s="114"/>
      <c r="K182" s="114"/>
      <c r="L182" s="114"/>
      <c r="M182" s="114"/>
      <c r="N182" s="114"/>
      <c r="O182" s="114"/>
      <c r="P182" s="114"/>
      <c r="Q182" s="114"/>
      <c r="R182" s="22"/>
      <c r="S182" s="66"/>
    </row>
    <row r="183" spans="2:19" x14ac:dyDescent="0.2">
      <c r="B183" s="232"/>
      <c r="C183" s="161" t="s">
        <v>1130</v>
      </c>
      <c r="D183" s="138">
        <v>0.56999999999999995</v>
      </c>
      <c r="E183" s="22"/>
      <c r="F183" s="22"/>
      <c r="G183" s="22"/>
      <c r="H183" s="22"/>
      <c r="I183" s="22"/>
      <c r="J183" s="114"/>
      <c r="K183" s="114"/>
      <c r="L183" s="114"/>
      <c r="M183" s="114"/>
      <c r="N183" s="114"/>
      <c r="O183" s="114"/>
      <c r="P183" s="114"/>
      <c r="Q183" s="114"/>
      <c r="R183" s="22"/>
      <c r="S183" s="66"/>
    </row>
    <row r="184" spans="2:19" x14ac:dyDescent="0.2">
      <c r="B184" s="232"/>
      <c r="C184" s="161" t="s">
        <v>1131</v>
      </c>
      <c r="D184" s="138">
        <f>K178</f>
        <v>0.70167064439140814</v>
      </c>
      <c r="E184" s="22"/>
      <c r="F184" s="22"/>
      <c r="G184" s="22"/>
      <c r="H184" s="22"/>
      <c r="I184" s="22"/>
      <c r="J184" s="114"/>
      <c r="K184" s="114"/>
      <c r="L184" s="114"/>
      <c r="M184" s="114"/>
      <c r="N184" s="114"/>
      <c r="O184" s="114"/>
      <c r="P184" s="114"/>
      <c r="Q184" s="114"/>
      <c r="R184" s="22"/>
      <c r="S184" s="66"/>
    </row>
    <row r="185" spans="2:19" x14ac:dyDescent="0.2">
      <c r="B185" s="232"/>
      <c r="C185" s="161" t="s">
        <v>1237</v>
      </c>
      <c r="D185" s="138">
        <f>K179</f>
        <v>0.70392749244712993</v>
      </c>
      <c r="E185" s="22"/>
      <c r="F185" s="22"/>
      <c r="G185" s="22"/>
      <c r="H185" s="22"/>
      <c r="I185" s="22"/>
      <c r="J185" s="114"/>
      <c r="K185" s="114"/>
      <c r="L185" s="114"/>
      <c r="M185" s="114"/>
      <c r="N185" s="114"/>
      <c r="O185" s="114"/>
      <c r="P185" s="114"/>
      <c r="Q185" s="114"/>
      <c r="R185" s="22"/>
      <c r="S185" s="66"/>
    </row>
    <row r="186" spans="2:19" x14ac:dyDescent="0.2">
      <c r="B186" s="61"/>
      <c r="C186" s="22"/>
      <c r="D186" s="22"/>
      <c r="E186" s="22"/>
      <c r="F186" s="22"/>
      <c r="G186" s="22"/>
      <c r="H186" s="22"/>
      <c r="I186" s="22"/>
      <c r="J186" s="114"/>
      <c r="K186" s="114"/>
      <c r="L186" s="22"/>
      <c r="M186" s="22"/>
      <c r="N186" s="22"/>
      <c r="O186" s="22"/>
      <c r="P186" s="22"/>
      <c r="Q186" s="22"/>
      <c r="R186" s="22"/>
      <c r="S186" s="66"/>
    </row>
    <row r="187" spans="2:19" x14ac:dyDescent="0.2">
      <c r="B187" s="70"/>
      <c r="C187" s="65"/>
      <c r="D187" s="65"/>
      <c r="E187" s="65"/>
      <c r="F187" s="65"/>
      <c r="G187" s="65"/>
      <c r="H187" s="65"/>
      <c r="I187" s="65"/>
      <c r="J187" s="65"/>
      <c r="K187" s="65"/>
      <c r="L187" s="65"/>
      <c r="M187" s="65"/>
      <c r="N187" s="65"/>
      <c r="O187" s="65"/>
      <c r="P187" s="65"/>
      <c r="Q187" s="65"/>
      <c r="R187" s="65"/>
      <c r="S187" s="67"/>
    </row>
    <row r="188" spans="2:19" x14ac:dyDescent="0.2">
      <c r="B188" s="61"/>
      <c r="C188" s="22"/>
      <c r="D188" s="22"/>
      <c r="E188" s="22"/>
      <c r="F188" s="22"/>
      <c r="G188" s="22"/>
      <c r="H188" s="22"/>
      <c r="I188" s="22"/>
      <c r="J188" s="22"/>
      <c r="K188" s="22"/>
      <c r="L188" s="22"/>
      <c r="M188" s="22"/>
      <c r="N188" s="22"/>
      <c r="O188" s="22"/>
      <c r="P188" s="22"/>
      <c r="Q188" s="22"/>
      <c r="R188" s="22"/>
      <c r="S188" s="66"/>
    </row>
    <row r="189" spans="2:19" x14ac:dyDescent="0.2">
      <c r="B189" s="61"/>
      <c r="C189" s="22"/>
      <c r="D189" s="22"/>
      <c r="E189" s="22"/>
      <c r="F189" s="22"/>
      <c r="G189" s="22"/>
      <c r="H189" s="22"/>
      <c r="I189" s="22"/>
      <c r="J189" s="22"/>
      <c r="K189" s="22"/>
      <c r="L189" s="22"/>
      <c r="M189" s="22"/>
      <c r="N189" s="22"/>
      <c r="O189" s="22"/>
      <c r="P189" s="22"/>
      <c r="Q189" s="22"/>
      <c r="R189" s="22"/>
      <c r="S189" s="66"/>
    </row>
    <row r="190" spans="2:19" x14ac:dyDescent="0.2">
      <c r="B190" s="61"/>
      <c r="C190" s="22"/>
      <c r="D190" s="22"/>
      <c r="E190" s="22"/>
      <c r="F190" s="22"/>
      <c r="G190" s="22"/>
      <c r="H190" s="22"/>
      <c r="I190" s="22"/>
      <c r="J190" s="22"/>
      <c r="K190" s="22"/>
      <c r="L190" s="22"/>
      <c r="M190" s="22"/>
      <c r="N190" s="22"/>
      <c r="O190" s="22"/>
      <c r="P190" s="22"/>
      <c r="Q190" s="22"/>
      <c r="R190" s="22"/>
      <c r="S190" s="66"/>
    </row>
    <row r="191" spans="2:19" ht="20.25" x14ac:dyDescent="0.3">
      <c r="B191" s="61"/>
      <c r="C191" s="208" t="s">
        <v>1396</v>
      </c>
      <c r="D191" s="173"/>
      <c r="E191" s="173"/>
      <c r="F191" s="173"/>
      <c r="G191" s="173"/>
      <c r="H191" s="173"/>
      <c r="I191" s="173"/>
      <c r="J191" s="173"/>
      <c r="K191" s="173"/>
      <c r="L191" s="173"/>
      <c r="M191" s="173"/>
      <c r="N191" s="173"/>
      <c r="O191" s="173"/>
      <c r="P191" s="173"/>
      <c r="Q191" s="173"/>
      <c r="R191" s="22"/>
      <c r="S191" s="66"/>
    </row>
    <row r="192" spans="2:19" ht="20.25" x14ac:dyDescent="0.3">
      <c r="B192" s="61"/>
      <c r="C192" s="208"/>
      <c r="D192" s="173"/>
      <c r="E192" s="173"/>
      <c r="F192" s="173"/>
      <c r="G192" s="173"/>
      <c r="H192" s="173"/>
      <c r="I192" s="173"/>
      <c r="J192" s="173"/>
      <c r="K192" s="173"/>
      <c r="L192" s="173"/>
      <c r="M192" s="173"/>
      <c r="N192" s="173"/>
      <c r="O192" s="173"/>
      <c r="P192" s="173"/>
      <c r="Q192" s="173"/>
      <c r="R192" s="22"/>
      <c r="S192" s="66"/>
    </row>
    <row r="193" spans="2:19" ht="15" x14ac:dyDescent="0.25">
      <c r="B193" s="61"/>
      <c r="C193" s="210" t="s">
        <v>1397</v>
      </c>
      <c r="D193" s="173"/>
      <c r="E193" s="173"/>
      <c r="F193" s="173"/>
      <c r="G193" s="173"/>
      <c r="H193" s="173"/>
      <c r="I193" s="173"/>
      <c r="J193" s="173"/>
      <c r="K193" s="173"/>
      <c r="L193" s="210" t="s">
        <v>1398</v>
      </c>
      <c r="M193" s="114"/>
      <c r="N193" s="114"/>
      <c r="O193" s="114"/>
      <c r="P193" s="173"/>
      <c r="Q193" s="173"/>
      <c r="R193" s="22"/>
      <c r="S193" s="66"/>
    </row>
    <row r="194" spans="2:19" x14ac:dyDescent="0.2">
      <c r="B194" s="61"/>
      <c r="C194" s="172" t="s">
        <v>1412</v>
      </c>
      <c r="D194" s="172" t="s">
        <v>1587</v>
      </c>
      <c r="E194" s="173"/>
      <c r="F194" s="173"/>
      <c r="G194" s="173"/>
      <c r="H194" s="173"/>
      <c r="I194" s="173"/>
      <c r="J194" s="173"/>
      <c r="K194" s="173"/>
      <c r="L194" s="172" t="s">
        <v>1429</v>
      </c>
      <c r="M194" s="172" t="s">
        <v>1399</v>
      </c>
      <c r="N194" s="173"/>
      <c r="O194" s="173"/>
      <c r="P194" s="173"/>
      <c r="Q194" s="173"/>
      <c r="R194" s="22"/>
      <c r="S194" s="66"/>
    </row>
    <row r="195" spans="2:19" x14ac:dyDescent="0.2">
      <c r="B195" s="232"/>
      <c r="C195" s="305" t="s">
        <v>1400</v>
      </c>
      <c r="D195" s="306"/>
      <c r="E195" s="165" t="s">
        <v>1237</v>
      </c>
      <c r="F195" s="173"/>
      <c r="G195" s="173"/>
      <c r="H195" s="173"/>
      <c r="I195" s="173"/>
      <c r="J195" s="173"/>
      <c r="K195" s="173"/>
      <c r="L195" s="306" t="s">
        <v>1401</v>
      </c>
      <c r="M195" s="306"/>
      <c r="N195" s="165" t="s">
        <v>1237</v>
      </c>
      <c r="O195" s="173"/>
      <c r="P195" s="173"/>
      <c r="Q195" s="173"/>
      <c r="R195" s="173"/>
      <c r="S195" s="66"/>
    </row>
    <row r="196" spans="2:19" x14ac:dyDescent="0.2">
      <c r="B196" s="232"/>
      <c r="C196" s="309" t="s">
        <v>1402</v>
      </c>
      <c r="D196" s="307"/>
      <c r="E196" s="124">
        <f>GETPIVOTDATA("Net Dwellings",Pivot!$B$246,"Town_Centre","East Sheen")</f>
        <v>4</v>
      </c>
      <c r="F196" s="173"/>
      <c r="G196" s="173"/>
      <c r="H196" s="173"/>
      <c r="I196" s="173"/>
      <c r="J196" s="173"/>
      <c r="K196" s="173"/>
      <c r="L196" s="307" t="s">
        <v>1397</v>
      </c>
      <c r="M196" s="307"/>
      <c r="N196" s="124">
        <f>E201</f>
        <v>44</v>
      </c>
      <c r="O196" s="173"/>
      <c r="P196" s="173"/>
      <c r="Q196" s="173"/>
      <c r="R196" s="173"/>
      <c r="S196" s="66"/>
    </row>
    <row r="197" spans="2:19" x14ac:dyDescent="0.2">
      <c r="B197" s="232"/>
      <c r="C197" s="309" t="s">
        <v>1403</v>
      </c>
      <c r="D197" s="307"/>
      <c r="E197" s="124">
        <f>GETPIVOTDATA("Net Dwellings",Pivot!$B$246,"Town_Centre","Richmond")</f>
        <v>1</v>
      </c>
      <c r="F197" s="173"/>
      <c r="G197" s="173"/>
      <c r="H197" s="173"/>
      <c r="I197" s="173"/>
      <c r="J197" s="173"/>
      <c r="K197" s="173"/>
      <c r="L197" s="307" t="s">
        <v>1404</v>
      </c>
      <c r="M197" s="307"/>
      <c r="N197" s="124">
        <f>GETPIVOTDATA("Net Dwellings",Pivot!$H$247,"TPA","Thames Policy Area")</f>
        <v>155</v>
      </c>
      <c r="O197" s="173"/>
      <c r="P197" s="173"/>
      <c r="Q197" s="173"/>
      <c r="R197" s="173"/>
      <c r="S197" s="66"/>
    </row>
    <row r="198" spans="2:19" x14ac:dyDescent="0.2">
      <c r="B198" s="232"/>
      <c r="C198" s="309" t="s">
        <v>1405</v>
      </c>
      <c r="D198" s="307"/>
      <c r="E198" s="124">
        <f>GETPIVOTDATA("Net Dwellings",Pivot!$B$246,"Town_Centre","Teddington")</f>
        <v>7</v>
      </c>
      <c r="F198" s="173"/>
      <c r="G198" s="173"/>
      <c r="H198" s="173"/>
      <c r="I198" s="173"/>
      <c r="J198" s="173"/>
      <c r="K198" s="173"/>
      <c r="L198" s="307" t="s">
        <v>1551</v>
      </c>
      <c r="M198" s="307"/>
      <c r="N198" s="124">
        <f>GETPIVOTDATA("Net Dwellings",Pivot!$E$255,"MixedUse","Mixed Use Area")</f>
        <v>54</v>
      </c>
      <c r="O198" s="173"/>
      <c r="P198" s="173"/>
      <c r="Q198" s="173"/>
      <c r="R198" s="173"/>
      <c r="S198" s="66"/>
    </row>
    <row r="199" spans="2:19" x14ac:dyDescent="0.2">
      <c r="B199" s="232"/>
      <c r="C199" s="309" t="s">
        <v>1406</v>
      </c>
      <c r="D199" s="307"/>
      <c r="E199" s="124">
        <f>GETPIVOTDATA("Net Dwellings",Pivot!$B$246,"Town_Centre","Twickenham")</f>
        <v>27</v>
      </c>
      <c r="F199" s="173"/>
      <c r="G199" s="173"/>
      <c r="H199" s="173"/>
      <c r="I199" s="173"/>
      <c r="J199" s="173"/>
      <c r="K199" s="173"/>
      <c r="L199" s="310" t="s">
        <v>1407</v>
      </c>
      <c r="M199" s="309"/>
      <c r="N199" s="124">
        <v>0</v>
      </c>
      <c r="O199" s="173"/>
      <c r="P199" s="173"/>
      <c r="Q199" s="173"/>
      <c r="R199" s="173"/>
      <c r="S199" s="66"/>
    </row>
    <row r="200" spans="2:19" x14ac:dyDescent="0.2">
      <c r="B200" s="232"/>
      <c r="C200" s="309" t="s">
        <v>1428</v>
      </c>
      <c r="D200" s="307"/>
      <c r="E200" s="124">
        <f>GETPIVOTDATA("Net Dwellings",Pivot!$B$246,"Town_Centre","Whitton")</f>
        <v>5</v>
      </c>
      <c r="F200" s="173"/>
      <c r="G200" s="173"/>
      <c r="H200" s="173"/>
      <c r="I200" s="173"/>
      <c r="J200" s="173"/>
      <c r="K200" s="173"/>
      <c r="L200" s="307" t="s">
        <v>1409</v>
      </c>
      <c r="M200" s="307"/>
      <c r="N200" s="124">
        <v>0</v>
      </c>
      <c r="O200" s="173"/>
      <c r="P200" s="173"/>
      <c r="Q200" s="173"/>
      <c r="R200" s="173"/>
      <c r="S200" s="66"/>
    </row>
    <row r="201" spans="2:19" x14ac:dyDescent="0.2">
      <c r="B201" s="232"/>
      <c r="C201" s="305" t="s">
        <v>1408</v>
      </c>
      <c r="D201" s="306"/>
      <c r="E201" s="98">
        <f>SUM(E196:E200)</f>
        <v>44</v>
      </c>
      <c r="F201" s="173"/>
      <c r="G201" s="173"/>
      <c r="H201" s="173"/>
      <c r="I201" s="173"/>
      <c r="J201" s="173"/>
      <c r="K201" s="173"/>
      <c r="L201" s="307" t="s">
        <v>1410</v>
      </c>
      <c r="M201" s="307"/>
      <c r="N201" s="124">
        <f>GETPIVOTDATA("Net Dwellings",Pivot!$H$255,"Garden Land","Garden Land")</f>
        <v>3</v>
      </c>
      <c r="O201" s="173"/>
      <c r="P201" s="173"/>
      <c r="Q201" s="173"/>
      <c r="R201" s="173"/>
      <c r="S201" s="66"/>
    </row>
    <row r="202" spans="2:19" x14ac:dyDescent="0.2">
      <c r="B202" s="61"/>
      <c r="C202" s="173"/>
      <c r="D202" s="173"/>
      <c r="E202" s="173"/>
      <c r="F202" s="173"/>
      <c r="G202" s="173"/>
      <c r="H202" s="173"/>
      <c r="I202" s="173"/>
      <c r="J202" s="173"/>
      <c r="K202" s="211"/>
      <c r="L202" s="307" t="s">
        <v>1545</v>
      </c>
      <c r="M202" s="307"/>
      <c r="N202" s="124">
        <f>GETPIVOTDATA("Net Dwellings",Pivot!$E$247,"Conservation Area","Conservation Area")</f>
        <v>62</v>
      </c>
      <c r="O202" s="173"/>
      <c r="P202" s="173"/>
      <c r="Q202" s="22"/>
      <c r="R202" s="22"/>
      <c r="S202" s="66"/>
    </row>
    <row r="203" spans="2:19" x14ac:dyDescent="0.2">
      <c r="B203" s="61"/>
      <c r="C203" s="173"/>
      <c r="D203" s="173"/>
      <c r="E203" s="173"/>
      <c r="F203" s="173"/>
      <c r="G203" s="173"/>
      <c r="H203" s="173"/>
      <c r="I203" s="173"/>
      <c r="J203" s="173"/>
      <c r="K203" s="211"/>
      <c r="L203" s="207"/>
      <c r="M203" s="207"/>
      <c r="N203" s="212"/>
      <c r="O203" s="173"/>
      <c r="P203" s="173"/>
      <c r="Q203" s="22"/>
      <c r="R203" s="22"/>
      <c r="S203" s="66"/>
    </row>
    <row r="204" spans="2:19" ht="15" x14ac:dyDescent="0.25">
      <c r="B204" s="61"/>
      <c r="C204" s="210" t="s">
        <v>1411</v>
      </c>
      <c r="D204" s="173"/>
      <c r="E204" s="114"/>
      <c r="F204" s="213"/>
      <c r="G204" s="213"/>
      <c r="H204" s="213"/>
      <c r="I204" s="213"/>
      <c r="J204" s="213"/>
      <c r="K204" s="213"/>
      <c r="L204" s="173"/>
      <c r="M204" s="173"/>
      <c r="N204" s="173"/>
      <c r="O204" s="173"/>
      <c r="P204" s="173"/>
      <c r="Q204" s="173"/>
      <c r="R204" s="22"/>
      <c r="S204" s="66"/>
    </row>
    <row r="205" spans="2:19" x14ac:dyDescent="0.2">
      <c r="B205" s="61"/>
      <c r="C205" s="172" t="s">
        <v>1434</v>
      </c>
      <c r="D205" s="172" t="s">
        <v>1588</v>
      </c>
      <c r="E205" s="114"/>
      <c r="F205" s="213"/>
      <c r="G205" s="213"/>
      <c r="H205" s="213"/>
      <c r="I205" s="213"/>
      <c r="J205" s="213"/>
      <c r="K205" s="213"/>
      <c r="L205" s="173"/>
      <c r="M205" s="173"/>
      <c r="N205" s="173"/>
      <c r="O205" s="173"/>
      <c r="P205" s="173"/>
      <c r="Q205" s="173"/>
      <c r="R205" s="22"/>
      <c r="S205" s="66"/>
    </row>
    <row r="206" spans="2:19" ht="33.75" x14ac:dyDescent="0.2">
      <c r="B206" s="232"/>
      <c r="C206" s="305" t="s">
        <v>1318</v>
      </c>
      <c r="D206" s="306"/>
      <c r="E206" s="306"/>
      <c r="F206" s="71" t="s">
        <v>1413</v>
      </c>
      <c r="G206" s="72" t="s">
        <v>1170</v>
      </c>
      <c r="H206" s="71" t="s">
        <v>1189</v>
      </c>
      <c r="I206" s="213"/>
      <c r="J206" s="213"/>
      <c r="K206" s="213"/>
      <c r="L206" s="213"/>
      <c r="M206" s="173"/>
      <c r="N206" s="173"/>
      <c r="O206" s="173"/>
      <c r="P206" s="173"/>
      <c r="Q206" s="173"/>
      <c r="R206" s="173"/>
      <c r="S206" s="66"/>
    </row>
    <row r="207" spans="2:19" x14ac:dyDescent="0.2">
      <c r="B207" s="232"/>
      <c r="C207" s="303" t="s">
        <v>1414</v>
      </c>
      <c r="D207" s="304"/>
      <c r="E207" s="304"/>
      <c r="F207" s="142">
        <f>GETPIVOTDATA("Net Dwellings",Pivot!$B$270,"Ward","Barnes")</f>
        <v>5</v>
      </c>
      <c r="G207" s="123">
        <f>GETPIVOTDATA("Net Dwellings",Pivot!$E$270,"Ward","Barnes")</f>
        <v>2</v>
      </c>
      <c r="H207" s="142">
        <f>GETPIVOTDATA("Net Dwellings",Pivot!$H$270,"Ward","Barnes")</f>
        <v>4</v>
      </c>
      <c r="I207" s="213"/>
      <c r="J207" s="213"/>
      <c r="K207" s="213"/>
      <c r="L207" s="213"/>
      <c r="M207" s="173"/>
      <c r="N207" s="173"/>
      <c r="O207" s="173"/>
      <c r="P207" s="173"/>
      <c r="Q207" s="173"/>
      <c r="R207" s="173"/>
      <c r="S207" s="66"/>
    </row>
    <row r="208" spans="2:19" x14ac:dyDescent="0.2">
      <c r="B208" s="232"/>
      <c r="C208" s="303" t="s">
        <v>1402</v>
      </c>
      <c r="D208" s="304"/>
      <c r="E208" s="304"/>
      <c r="F208" s="142">
        <f>GETPIVOTDATA("Net Dwellings",Pivot!$B$270,"Ward","East Sheen")</f>
        <v>24</v>
      </c>
      <c r="G208" s="123">
        <f>GETPIVOTDATA("Net Dwellings",Pivot!$E$270,"Ward","East Sheen")</f>
        <v>7</v>
      </c>
      <c r="H208" s="142">
        <f>GETPIVOTDATA("Net Dwellings",Pivot!$H$270,"Ward","East Sheen")</f>
        <v>4</v>
      </c>
      <c r="I208" s="213"/>
      <c r="J208" s="213"/>
      <c r="K208" s="213"/>
      <c r="L208" s="213"/>
      <c r="M208" s="173"/>
      <c r="N208" s="173"/>
      <c r="O208" s="173"/>
      <c r="P208" s="173"/>
      <c r="Q208" s="173"/>
      <c r="R208" s="173"/>
      <c r="S208" s="66"/>
    </row>
    <row r="209" spans="2:19" x14ac:dyDescent="0.2">
      <c r="B209" s="232"/>
      <c r="C209" s="303" t="s">
        <v>1415</v>
      </c>
      <c r="D209" s="304"/>
      <c r="E209" s="304"/>
      <c r="F209" s="142">
        <f>GETPIVOTDATA("Net Dwellings",Pivot!$B$270,"Ward","Fulwell and Hampton Hill")</f>
        <v>62</v>
      </c>
      <c r="G209" s="123">
        <f>GETPIVOTDATA("Net Dwellings",Pivot!$E$270,"Ward","Fulwell and Hampton Hill")</f>
        <v>9</v>
      </c>
      <c r="H209" s="142">
        <f>GETPIVOTDATA("Net Dwellings",Pivot!$H$270,"Ward","Fulwell and Hampton Hill")</f>
        <v>30</v>
      </c>
      <c r="I209" s="213"/>
      <c r="J209" s="213"/>
      <c r="K209" s="213"/>
      <c r="L209" s="213"/>
      <c r="M209" s="173"/>
      <c r="N209" s="173"/>
      <c r="O209" s="173"/>
      <c r="P209" s="173"/>
      <c r="Q209" s="173"/>
      <c r="R209" s="173"/>
      <c r="S209" s="66"/>
    </row>
    <row r="210" spans="2:19" x14ac:dyDescent="0.2">
      <c r="B210" s="232"/>
      <c r="C210" s="308" t="s">
        <v>1487</v>
      </c>
      <c r="D210" s="308"/>
      <c r="E210" s="299"/>
      <c r="F210" s="142">
        <f>GETPIVOTDATA("Net Dwellings",Pivot!$B$270,"Ward","Ham, Petersham and Richmond Riverside")</f>
        <v>0</v>
      </c>
      <c r="G210" s="123">
        <f>GETPIVOTDATA("Net Dwellings",Pivot!$E$270,"Ward","Ham, Petersham and Richmond Riverside")</f>
        <v>18</v>
      </c>
      <c r="H210" s="142">
        <f>GETPIVOTDATA("Net Dwellings",Pivot!$H$270,"Ward","Ham, Petersham and Richmond Riverside")</f>
        <v>33</v>
      </c>
      <c r="I210" s="213"/>
      <c r="J210" s="213"/>
      <c r="K210" s="213"/>
      <c r="L210" s="213"/>
      <c r="M210" s="173"/>
      <c r="N210" s="173"/>
      <c r="O210" s="173"/>
      <c r="P210" s="173"/>
      <c r="Q210" s="173"/>
      <c r="R210" s="173"/>
      <c r="S210" s="66"/>
    </row>
    <row r="211" spans="2:19" x14ac:dyDescent="0.2">
      <c r="B211" s="232"/>
      <c r="C211" s="303" t="s">
        <v>1417</v>
      </c>
      <c r="D211" s="304"/>
      <c r="E211" s="304"/>
      <c r="F211" s="142">
        <f>GETPIVOTDATA("Net Dwellings",Pivot!$B$270,"Ward","Hampton")</f>
        <v>43</v>
      </c>
      <c r="G211" s="123">
        <f>GETPIVOTDATA("Net Dwellings",Pivot!$E$270,"Ward","Hampton")</f>
        <v>13</v>
      </c>
      <c r="H211" s="142">
        <f>GETPIVOTDATA("Net Dwellings",Pivot!$H$270,"Ward","Hampton")</f>
        <v>5</v>
      </c>
      <c r="I211" s="213"/>
      <c r="J211" s="213"/>
      <c r="K211" s="213"/>
      <c r="L211" s="213"/>
      <c r="M211" s="173"/>
      <c r="N211" s="173"/>
      <c r="O211" s="173"/>
      <c r="P211" s="173"/>
      <c r="Q211" s="173"/>
      <c r="R211" s="173"/>
      <c r="S211" s="66"/>
    </row>
    <row r="212" spans="2:19" x14ac:dyDescent="0.2">
      <c r="B212" s="232"/>
      <c r="C212" s="303" t="s">
        <v>1416</v>
      </c>
      <c r="D212" s="304"/>
      <c r="E212" s="304"/>
      <c r="F212" s="142">
        <f>GETPIVOTDATA("Net Dwellings",Pivot!$B$270,"Ward","Hampton North")</f>
        <v>5</v>
      </c>
      <c r="G212" s="123">
        <f>GETPIVOTDATA("Net Dwellings",Pivot!$E$270,"Ward","Hampton North")</f>
        <v>2</v>
      </c>
      <c r="H212" s="142">
        <f>GETPIVOTDATA("Net Dwellings",Pivot!$H$270,"Ward","Hampton North")</f>
        <v>-1</v>
      </c>
      <c r="I212" s="213"/>
      <c r="J212" s="213"/>
      <c r="K212" s="213"/>
      <c r="L212" s="213"/>
      <c r="M212" s="173"/>
      <c r="N212" s="173"/>
      <c r="O212" s="173"/>
      <c r="P212" s="173"/>
      <c r="Q212" s="173"/>
      <c r="R212" s="173"/>
      <c r="S212" s="66"/>
    </row>
    <row r="213" spans="2:19" x14ac:dyDescent="0.2">
      <c r="B213" s="232"/>
      <c r="C213" s="303" t="s">
        <v>1418</v>
      </c>
      <c r="D213" s="304"/>
      <c r="E213" s="304"/>
      <c r="F213" s="142">
        <f>GETPIVOTDATA("Net Dwellings",Pivot!$B$270,"Ward","Hampton Wick")</f>
        <v>22</v>
      </c>
      <c r="G213" s="123">
        <f>GETPIVOTDATA("Net Dwellings",Pivot!$E$270,"Ward","Hampton Wick")</f>
        <v>57</v>
      </c>
      <c r="H213" s="142">
        <f>GETPIVOTDATA("Net Dwellings",Pivot!$H$270,"Ward","Hampton Wick")</f>
        <v>15</v>
      </c>
      <c r="I213" s="213"/>
      <c r="J213" s="213"/>
      <c r="K213" s="213"/>
      <c r="L213" s="213"/>
      <c r="M213" s="173"/>
      <c r="N213" s="173"/>
      <c r="O213" s="173"/>
      <c r="P213" s="173"/>
      <c r="Q213" s="173"/>
      <c r="R213" s="173"/>
      <c r="S213" s="66"/>
    </row>
    <row r="214" spans="2:19" x14ac:dyDescent="0.2">
      <c r="B214" s="232"/>
      <c r="C214" s="303" t="s">
        <v>1419</v>
      </c>
      <c r="D214" s="304"/>
      <c r="E214" s="304"/>
      <c r="F214" s="142">
        <f>GETPIVOTDATA("Net Dwellings",Pivot!$B$270,"Ward","Heathfield")</f>
        <v>2</v>
      </c>
      <c r="G214" s="123">
        <f>GETPIVOTDATA("Net Dwellings",Pivot!$E$270,"Ward","Heathfield")</f>
        <v>4</v>
      </c>
      <c r="H214" s="142">
        <f>GETPIVOTDATA("Net Dwellings",Pivot!$H$270,"Ward","Heathfield")</f>
        <v>1</v>
      </c>
      <c r="I214" s="213"/>
      <c r="J214" s="213"/>
      <c r="K214" s="213"/>
      <c r="L214" s="213"/>
      <c r="M214" s="173"/>
      <c r="N214" s="173"/>
      <c r="O214" s="173"/>
      <c r="P214" s="173"/>
      <c r="Q214" s="173"/>
      <c r="R214" s="173"/>
      <c r="S214" s="66"/>
    </row>
    <row r="215" spans="2:19" x14ac:dyDescent="0.2">
      <c r="B215" s="232"/>
      <c r="C215" s="303" t="s">
        <v>1420</v>
      </c>
      <c r="D215" s="304"/>
      <c r="E215" s="304"/>
      <c r="F215" s="142">
        <f>GETPIVOTDATA("Net Dwellings",Pivot!$B$270,"Ward","Kew")</f>
        <v>8</v>
      </c>
      <c r="G215" s="123">
        <f>GETPIVOTDATA("Net Dwellings",Pivot!$E$270,"Ward","Kew")</f>
        <v>43</v>
      </c>
      <c r="H215" s="142">
        <f>GETPIVOTDATA("Net Dwellings",Pivot!$H$270,"Ward","Kew")</f>
        <v>7</v>
      </c>
      <c r="I215" s="213"/>
      <c r="J215" s="213"/>
      <c r="K215" s="213"/>
      <c r="L215" s="213"/>
      <c r="M215" s="173"/>
      <c r="N215" s="173"/>
      <c r="O215" s="173"/>
      <c r="P215" s="173"/>
      <c r="Q215" s="173"/>
      <c r="R215" s="173"/>
      <c r="S215" s="66"/>
    </row>
    <row r="216" spans="2:19" x14ac:dyDescent="0.2">
      <c r="B216" s="232"/>
      <c r="C216" s="303" t="s">
        <v>1421</v>
      </c>
      <c r="D216" s="304"/>
      <c r="E216" s="304"/>
      <c r="F216" s="142">
        <f>GETPIVOTDATA("Net Dwellings",Pivot!$B$270,"Ward","Mortlake and Barnes Common")</f>
        <v>11</v>
      </c>
      <c r="G216" s="123">
        <f>GETPIVOTDATA("Net Dwellings",Pivot!$E$270,"Ward","Mortlake and Barnes Common")</f>
        <v>5</v>
      </c>
      <c r="H216" s="142">
        <f>GETPIVOTDATA("Net Dwellings",Pivot!$H$270,"Ward","Mortlake and Barnes Common")</f>
        <v>11</v>
      </c>
      <c r="I216" s="213"/>
      <c r="J216" s="213"/>
      <c r="K216" s="213"/>
      <c r="L216" s="213"/>
      <c r="M216" s="173"/>
      <c r="N216" s="173"/>
      <c r="O216" s="173"/>
      <c r="P216" s="173"/>
      <c r="Q216" s="173"/>
      <c r="R216" s="173"/>
      <c r="S216" s="66"/>
    </row>
    <row r="217" spans="2:19" x14ac:dyDescent="0.2">
      <c r="B217" s="232"/>
      <c r="C217" s="303" t="s">
        <v>1422</v>
      </c>
      <c r="D217" s="304"/>
      <c r="E217" s="304"/>
      <c r="F217" s="142">
        <f>GETPIVOTDATA("Net Dwellings",Pivot!$B$270,"Ward","North Richmond")</f>
        <v>88</v>
      </c>
      <c r="G217" s="123">
        <f>GETPIVOTDATA("Net Dwellings",Pivot!$E$270,"Ward","North Richmond")</f>
        <v>3</v>
      </c>
      <c r="H217" s="142">
        <f>GETPIVOTDATA("Net Dwellings",Pivot!$H$270,"Ward","North Richmond")</f>
        <v>4</v>
      </c>
      <c r="I217" s="213"/>
      <c r="J217" s="213"/>
      <c r="K217" s="213"/>
      <c r="L217" s="213"/>
      <c r="M217" s="173"/>
      <c r="N217" s="173"/>
      <c r="O217" s="173"/>
      <c r="P217" s="173"/>
      <c r="Q217" s="173"/>
      <c r="R217" s="173"/>
      <c r="S217" s="66"/>
    </row>
    <row r="218" spans="2:19" x14ac:dyDescent="0.2">
      <c r="B218" s="232"/>
      <c r="C218" s="303" t="s">
        <v>1423</v>
      </c>
      <c r="D218" s="304"/>
      <c r="E218" s="304"/>
      <c r="F218" s="142">
        <f>GETPIVOTDATA("Net Dwellings",Pivot!$B$270,"Ward","South Richmond")</f>
        <v>7</v>
      </c>
      <c r="G218" s="123">
        <f>GETPIVOTDATA("Net Dwellings",Pivot!$E$270,"Ward","South Richmond")</f>
        <v>26</v>
      </c>
      <c r="H218" s="142">
        <f>GETPIVOTDATA("Net Dwellings",Pivot!$H$270,"Ward","South Richmond")</f>
        <v>0</v>
      </c>
      <c r="I218" s="213"/>
      <c r="J218" s="213"/>
      <c r="K218" s="213"/>
      <c r="L218" s="213"/>
      <c r="M218" s="173"/>
      <c r="N218" s="173"/>
      <c r="O218" s="173"/>
      <c r="P218" s="173"/>
      <c r="Q218" s="173"/>
      <c r="R218" s="173"/>
      <c r="S218" s="66"/>
    </row>
    <row r="219" spans="2:19" x14ac:dyDescent="0.2">
      <c r="B219" s="232"/>
      <c r="C219" s="303" t="s">
        <v>1424</v>
      </c>
      <c r="D219" s="304"/>
      <c r="E219" s="304"/>
      <c r="F219" s="142">
        <f>GETPIVOTDATA("Net Dwellings",Pivot!$B$270,"Ward","South Twickenham")</f>
        <v>13</v>
      </c>
      <c r="G219" s="123">
        <f>GETPIVOTDATA("Net Dwellings",Pivot!$E$270,"Ward","South Twickenham")</f>
        <v>22</v>
      </c>
      <c r="H219" s="142">
        <f>GETPIVOTDATA("Net Dwellings",Pivot!$H$270,"Ward","South Twickenham")</f>
        <v>12</v>
      </c>
      <c r="I219" s="213"/>
      <c r="J219" s="213"/>
      <c r="K219" s="213"/>
      <c r="L219" s="213"/>
      <c r="M219" s="173"/>
      <c r="N219" s="173"/>
      <c r="O219" s="173"/>
      <c r="P219" s="173"/>
      <c r="Q219" s="173"/>
      <c r="R219" s="173"/>
      <c r="S219" s="66"/>
    </row>
    <row r="220" spans="2:19" x14ac:dyDescent="0.2">
      <c r="B220" s="232"/>
      <c r="C220" s="303" t="s">
        <v>1425</v>
      </c>
      <c r="D220" s="304"/>
      <c r="E220" s="304"/>
      <c r="F220" s="142">
        <f>GETPIVOTDATA("Net Dwellings",Pivot!$B$270,"Ward","St. Margarets and North Twickenham")</f>
        <v>4</v>
      </c>
      <c r="G220" s="123">
        <f>GETPIVOTDATA("Net Dwellings",Pivot!$E$270,"Ward","St. Margarets and North Twickenham")</f>
        <v>287</v>
      </c>
      <c r="H220" s="142">
        <f>GETPIVOTDATA("Net Dwellings",Pivot!$H$270,"Ward","St. Margarets and North Twickenham")</f>
        <v>28</v>
      </c>
      <c r="I220" s="213"/>
      <c r="J220" s="213"/>
      <c r="K220" s="213"/>
      <c r="L220" s="213"/>
      <c r="M220" s="173"/>
      <c r="N220" s="173"/>
      <c r="O220" s="173"/>
      <c r="P220" s="173"/>
      <c r="Q220" s="173"/>
      <c r="R220" s="173"/>
      <c r="S220" s="66"/>
    </row>
    <row r="221" spans="2:19" x14ac:dyDescent="0.2">
      <c r="B221" s="232"/>
      <c r="C221" s="303" t="s">
        <v>1405</v>
      </c>
      <c r="D221" s="304"/>
      <c r="E221" s="304"/>
      <c r="F221" s="142">
        <f>GETPIVOTDATA("Net Dwellings",Pivot!$B$270,"Ward","Teddington")</f>
        <v>11</v>
      </c>
      <c r="G221" s="123">
        <f>GETPIVOTDATA("Net Dwellings",Pivot!$E$270,"Ward","Teddington")</f>
        <v>41</v>
      </c>
      <c r="H221" s="142">
        <f>GETPIVOTDATA("Net Dwellings",Pivot!$H$270,"Ward","Teddington")</f>
        <v>164</v>
      </c>
      <c r="I221" s="213"/>
      <c r="J221" s="213"/>
      <c r="K221" s="213"/>
      <c r="L221" s="213"/>
      <c r="M221" s="173"/>
      <c r="N221" s="173"/>
      <c r="O221" s="173"/>
      <c r="P221" s="173"/>
      <c r="Q221" s="173"/>
      <c r="R221" s="173"/>
      <c r="S221" s="66"/>
    </row>
    <row r="222" spans="2:19" x14ac:dyDescent="0.2">
      <c r="B222" s="232"/>
      <c r="C222" s="303" t="s">
        <v>1426</v>
      </c>
      <c r="D222" s="304"/>
      <c r="E222" s="304"/>
      <c r="F222" s="142">
        <f>GETPIVOTDATA("Net Dwellings",Pivot!$B$270,"Ward","Twickenham Riverside")</f>
        <v>12</v>
      </c>
      <c r="G222" s="123">
        <f>GETPIVOTDATA("Net Dwellings",Pivot!$E$270,"Ward","Twickenham Riverside")</f>
        <v>10</v>
      </c>
      <c r="H222" s="142">
        <f>GETPIVOTDATA("Net Dwellings",Pivot!$H$270,"Ward","Twickenham Riverside")</f>
        <v>7</v>
      </c>
      <c r="I222" s="213"/>
      <c r="J222" s="213"/>
      <c r="K222" s="213"/>
      <c r="L222" s="213"/>
      <c r="M222" s="173"/>
      <c r="N222" s="173"/>
      <c r="O222" s="173"/>
      <c r="P222" s="173"/>
      <c r="Q222" s="173"/>
      <c r="R222" s="173"/>
      <c r="S222" s="66"/>
    </row>
    <row r="223" spans="2:19" x14ac:dyDescent="0.2">
      <c r="B223" s="232"/>
      <c r="C223" s="303" t="s">
        <v>1427</v>
      </c>
      <c r="D223" s="304"/>
      <c r="E223" s="304"/>
      <c r="F223" s="142">
        <f>GETPIVOTDATA("Net Dwellings",Pivot!$B$270,"Ward","West Twickenham")</f>
        <v>5</v>
      </c>
      <c r="G223" s="123">
        <f>GETPIVOTDATA("Net Dwellings",Pivot!$E$270,"Ward","West Twickenham")</f>
        <v>6</v>
      </c>
      <c r="H223" s="142">
        <f>GETPIVOTDATA("Net Dwellings",Pivot!$H$270,"Ward","West Twickenham")</f>
        <v>2</v>
      </c>
      <c r="I223" s="213"/>
      <c r="J223" s="213"/>
      <c r="K223" s="213"/>
      <c r="L223" s="213"/>
      <c r="M223" s="173"/>
      <c r="N223" s="173"/>
      <c r="O223" s="173"/>
      <c r="P223" s="173"/>
      <c r="Q223" s="173"/>
      <c r="R223" s="173"/>
      <c r="S223" s="66"/>
    </row>
    <row r="224" spans="2:19" x14ac:dyDescent="0.2">
      <c r="B224" s="232"/>
      <c r="C224" s="303" t="s">
        <v>1428</v>
      </c>
      <c r="D224" s="304"/>
      <c r="E224" s="304"/>
      <c r="F224" s="142">
        <f>GETPIVOTDATA("Net Dwellings",Pivot!$B$270,"Ward","Whitton")</f>
        <v>2</v>
      </c>
      <c r="G224" s="123">
        <f>GETPIVOTDATA("Net Dwellings",Pivot!$E$270,"Ward","Whitton")</f>
        <v>-3</v>
      </c>
      <c r="H224" s="142">
        <f>GETPIVOTDATA("Net Dwellings",Pivot!$H$270,"Ward","Whitton")</f>
        <v>5</v>
      </c>
      <c r="I224" s="213"/>
      <c r="J224" s="213"/>
      <c r="K224" s="213"/>
      <c r="L224" s="213"/>
      <c r="M224" s="173"/>
      <c r="N224" s="173"/>
      <c r="O224" s="173"/>
      <c r="P224" s="173"/>
      <c r="Q224" s="173"/>
      <c r="R224" s="173"/>
      <c r="S224" s="66"/>
    </row>
    <row r="225" spans="2:19" x14ac:dyDescent="0.2">
      <c r="B225" s="232"/>
      <c r="C225" s="301" t="s">
        <v>1122</v>
      </c>
      <c r="D225" s="302"/>
      <c r="E225" s="302"/>
      <c r="F225" s="98">
        <f>SUM(F207:F224)</f>
        <v>324</v>
      </c>
      <c r="G225" s="98">
        <f>SUM(G207:G224)</f>
        <v>552</v>
      </c>
      <c r="H225" s="99">
        <f>SUM(H207:H224)</f>
        <v>331</v>
      </c>
      <c r="I225" s="213"/>
      <c r="J225" s="213"/>
      <c r="K225" s="213"/>
      <c r="L225" s="213"/>
      <c r="M225" s="173"/>
      <c r="N225" s="173"/>
      <c r="O225" s="173"/>
      <c r="P225" s="173"/>
      <c r="Q225" s="173"/>
      <c r="R225" s="173"/>
      <c r="S225" s="66"/>
    </row>
    <row r="226" spans="2:19" x14ac:dyDescent="0.2">
      <c r="B226" s="61"/>
      <c r="C226" s="214"/>
      <c r="D226" s="214"/>
      <c r="E226" s="214"/>
      <c r="F226" s="207"/>
      <c r="G226" s="207"/>
      <c r="H226" s="212"/>
      <c r="I226" s="213"/>
      <c r="J226" s="213"/>
      <c r="K226" s="213"/>
      <c r="L226" s="213"/>
      <c r="M226" s="173"/>
      <c r="N226" s="173"/>
      <c r="O226" s="173"/>
      <c r="P226" s="173"/>
      <c r="Q226" s="173"/>
      <c r="R226" s="173"/>
      <c r="S226" s="66"/>
    </row>
    <row r="227" spans="2:19" x14ac:dyDescent="0.2">
      <c r="B227" s="61"/>
      <c r="C227" s="214"/>
      <c r="D227" s="214"/>
      <c r="E227" s="214"/>
      <c r="F227" s="207"/>
      <c r="G227" s="207"/>
      <c r="H227" s="212"/>
      <c r="I227" s="213"/>
      <c r="J227" s="213"/>
      <c r="K227" s="213"/>
      <c r="L227" s="213"/>
      <c r="M227" s="173"/>
      <c r="N227" s="173"/>
      <c r="O227" s="173"/>
      <c r="P227" s="173"/>
      <c r="Q227" s="173"/>
      <c r="R227" s="173"/>
      <c r="S227" s="66"/>
    </row>
    <row r="228" spans="2:19" x14ac:dyDescent="0.2">
      <c r="B228" s="70"/>
      <c r="C228" s="73"/>
      <c r="D228" s="73"/>
      <c r="E228" s="73"/>
      <c r="F228" s="74"/>
      <c r="G228" s="74"/>
      <c r="H228" s="75"/>
      <c r="I228" s="76"/>
      <c r="J228" s="76"/>
      <c r="K228" s="76"/>
      <c r="L228" s="76"/>
      <c r="M228" s="10"/>
      <c r="N228" s="10"/>
      <c r="O228" s="10"/>
      <c r="P228" s="10"/>
      <c r="Q228" s="10"/>
      <c r="R228" s="10"/>
      <c r="S228" s="67"/>
    </row>
    <row r="229" spans="2:19" x14ac:dyDescent="0.2">
      <c r="B229" s="61"/>
      <c r="C229" s="214"/>
      <c r="D229" s="206"/>
      <c r="E229" s="215"/>
      <c r="F229" s="215"/>
      <c r="G229" s="215"/>
      <c r="H229" s="215"/>
      <c r="I229" s="215"/>
      <c r="J229" s="215"/>
      <c r="K229" s="215"/>
      <c r="L229" s="215"/>
      <c r="M229" s="215"/>
      <c r="N229" s="173"/>
      <c r="O229" s="173"/>
      <c r="P229" s="173"/>
      <c r="Q229" s="173"/>
      <c r="R229" s="22"/>
      <c r="S229" s="66"/>
    </row>
    <row r="230" spans="2:19" x14ac:dyDescent="0.2">
      <c r="B230" s="61"/>
      <c r="C230" s="214"/>
      <c r="D230" s="173"/>
      <c r="E230" s="114"/>
      <c r="F230" s="213"/>
      <c r="G230" s="213"/>
      <c r="H230" s="213"/>
      <c r="I230" s="213"/>
      <c r="J230" s="213"/>
      <c r="K230" s="213"/>
      <c r="L230" s="173"/>
      <c r="M230" s="173"/>
      <c r="N230" s="173"/>
      <c r="O230" s="173"/>
      <c r="P230" s="173"/>
      <c r="Q230" s="173"/>
      <c r="R230" s="22"/>
      <c r="S230" s="66"/>
    </row>
    <row r="231" spans="2:19" x14ac:dyDescent="0.2">
      <c r="B231" s="61"/>
      <c r="C231" s="172" t="s">
        <v>1444</v>
      </c>
      <c r="D231" s="172" t="s">
        <v>1589</v>
      </c>
      <c r="E231" s="114"/>
      <c r="F231" s="213"/>
      <c r="G231" s="213"/>
      <c r="H231" s="213"/>
      <c r="I231" s="213"/>
      <c r="J231" s="213"/>
      <c r="K231" s="213"/>
      <c r="L231" s="173"/>
      <c r="M231" s="173"/>
      <c r="N231" s="173"/>
      <c r="O231" s="173"/>
      <c r="P231" s="173"/>
      <c r="Q231" s="173"/>
      <c r="R231" s="22"/>
      <c r="S231" s="66"/>
    </row>
    <row r="232" spans="2:19" x14ac:dyDescent="0.2">
      <c r="B232" s="232"/>
      <c r="C232" s="305" t="s">
        <v>1318</v>
      </c>
      <c r="D232" s="306"/>
      <c r="E232" s="306"/>
      <c r="F232" s="169" t="s">
        <v>1430</v>
      </c>
      <c r="G232" s="169" t="s">
        <v>1431</v>
      </c>
      <c r="H232" s="169" t="s">
        <v>1432</v>
      </c>
      <c r="I232" s="213"/>
      <c r="J232" s="213"/>
      <c r="K232" s="213"/>
      <c r="L232" s="173"/>
      <c r="M232" s="173"/>
      <c r="N232" s="173"/>
      <c r="O232" s="173"/>
      <c r="P232" s="173"/>
      <c r="Q232" s="173"/>
      <c r="R232" s="22"/>
      <c r="S232" s="66"/>
    </row>
    <row r="233" spans="2:19" x14ac:dyDescent="0.2">
      <c r="B233" s="232"/>
      <c r="C233" s="299" t="s">
        <v>1414</v>
      </c>
      <c r="D233" s="300"/>
      <c r="E233" s="300"/>
      <c r="F233" s="123">
        <f>GETPIVOTDATA("Sum of Units Proposed",Pivot!$B$298,"Ward",C233)</f>
        <v>8</v>
      </c>
      <c r="G233" s="142">
        <f>GETPIVOTDATA("Sum of Units Existing",Pivot!$B$298,"Ward",C233)</f>
        <v>4</v>
      </c>
      <c r="H233" s="142">
        <f>GETPIVOTDATA("Sum of Net Dwellings",Pivot!$B$298,"Ward",C233)</f>
        <v>4</v>
      </c>
      <c r="I233" s="213"/>
      <c r="J233" s="213"/>
      <c r="K233" s="213"/>
      <c r="L233" s="173"/>
      <c r="M233" s="173"/>
      <c r="N233" s="173"/>
      <c r="O233" s="173"/>
      <c r="P233" s="173"/>
      <c r="Q233" s="173"/>
      <c r="R233" s="22"/>
      <c r="S233" s="66"/>
    </row>
    <row r="234" spans="2:19" x14ac:dyDescent="0.2">
      <c r="B234" s="232"/>
      <c r="C234" s="299" t="s">
        <v>1402</v>
      </c>
      <c r="D234" s="300"/>
      <c r="E234" s="300"/>
      <c r="F234" s="123">
        <f>GETPIVOTDATA("Sum of Units Proposed",Pivot!$B$298,"Ward",C234)</f>
        <v>6</v>
      </c>
      <c r="G234" s="142">
        <f>GETPIVOTDATA("Sum of Units Existing",Pivot!$B$298,"Ward",C234)</f>
        <v>2</v>
      </c>
      <c r="H234" s="142">
        <f>GETPIVOTDATA("Sum of Net Dwellings",Pivot!$B$298,"Ward",C234)</f>
        <v>4</v>
      </c>
      <c r="I234" s="213"/>
      <c r="J234" s="213"/>
      <c r="K234" s="213"/>
      <c r="L234" s="173"/>
      <c r="M234" s="173"/>
      <c r="N234" s="173"/>
      <c r="O234" s="173"/>
      <c r="P234" s="173"/>
      <c r="Q234" s="173"/>
      <c r="R234" s="22"/>
      <c r="S234" s="66"/>
    </row>
    <row r="235" spans="2:19" x14ac:dyDescent="0.2">
      <c r="B235" s="232"/>
      <c r="C235" s="299" t="s">
        <v>1458</v>
      </c>
      <c r="D235" s="300"/>
      <c r="E235" s="300"/>
      <c r="F235" s="123">
        <f>GETPIVOTDATA("Sum of Units Proposed",Pivot!$B$298,"Ward",C235)</f>
        <v>34</v>
      </c>
      <c r="G235" s="142">
        <f>GETPIVOTDATA("Sum of Units Existing",Pivot!$B$298,"Ward",C235)</f>
        <v>4</v>
      </c>
      <c r="H235" s="142">
        <f>GETPIVOTDATA("Sum of Net Dwellings",Pivot!$B$298,"Ward",C235)</f>
        <v>30</v>
      </c>
      <c r="I235" s="213"/>
      <c r="J235" s="213"/>
      <c r="K235" s="213"/>
      <c r="L235" s="173"/>
      <c r="M235" s="173"/>
      <c r="N235" s="173"/>
      <c r="O235" s="173"/>
      <c r="P235" s="173"/>
      <c r="Q235" s="173"/>
      <c r="R235" s="22"/>
      <c r="S235" s="66"/>
    </row>
    <row r="236" spans="2:19" x14ac:dyDescent="0.2">
      <c r="B236" s="232"/>
      <c r="C236" s="299" t="s">
        <v>1487</v>
      </c>
      <c r="D236" s="300"/>
      <c r="E236" s="300"/>
      <c r="F236" s="123">
        <f>GETPIVOTDATA("Sum of Units Proposed",Pivot!$B$298,"Ward",C236)</f>
        <v>34</v>
      </c>
      <c r="G236" s="142">
        <f>GETPIVOTDATA("Sum of Units Existing",Pivot!$B$298,"Ward",C236)</f>
        <v>1</v>
      </c>
      <c r="H236" s="142">
        <f>GETPIVOTDATA("Sum of Net Dwellings",Pivot!$B$298,"Ward",C236)</f>
        <v>33</v>
      </c>
      <c r="I236" s="213"/>
      <c r="J236" s="213"/>
      <c r="K236" s="213"/>
      <c r="L236" s="173"/>
      <c r="M236" s="173"/>
      <c r="N236" s="173"/>
      <c r="O236" s="173"/>
      <c r="P236" s="173"/>
      <c r="Q236" s="173"/>
      <c r="R236" s="22"/>
      <c r="S236" s="66"/>
    </row>
    <row r="237" spans="2:19" x14ac:dyDescent="0.2">
      <c r="B237" s="232"/>
      <c r="C237" s="303" t="s">
        <v>1417</v>
      </c>
      <c r="D237" s="304"/>
      <c r="E237" s="304"/>
      <c r="F237" s="123">
        <f>GETPIVOTDATA("Sum of Units Proposed",Pivot!$B$298,"Ward",C237)</f>
        <v>7</v>
      </c>
      <c r="G237" s="142">
        <f>GETPIVOTDATA("Sum of Units Existing",Pivot!$B$298,"Ward",C237)</f>
        <v>2</v>
      </c>
      <c r="H237" s="142">
        <f>GETPIVOTDATA("Sum of Net Dwellings",Pivot!$B$298,"Ward",C237)</f>
        <v>5</v>
      </c>
      <c r="I237" s="213"/>
      <c r="J237" s="213"/>
      <c r="K237" s="213"/>
      <c r="L237" s="173"/>
      <c r="M237" s="173"/>
      <c r="N237" s="173"/>
      <c r="O237" s="173"/>
      <c r="P237" s="173"/>
      <c r="Q237" s="173"/>
      <c r="R237" s="22"/>
      <c r="S237" s="66"/>
    </row>
    <row r="238" spans="2:19" x14ac:dyDescent="0.2">
      <c r="B238" s="232"/>
      <c r="C238" s="303" t="s">
        <v>1416</v>
      </c>
      <c r="D238" s="304"/>
      <c r="E238" s="304"/>
      <c r="F238" s="123">
        <f>GETPIVOTDATA("Sum of Units Proposed",Pivot!$B$298,"Ward",C238)</f>
        <v>1</v>
      </c>
      <c r="G238" s="142">
        <f>GETPIVOTDATA("Sum of Units Existing",Pivot!$B$298,"Ward",C238)</f>
        <v>2</v>
      </c>
      <c r="H238" s="142">
        <f>GETPIVOTDATA("Sum of Net Dwellings",Pivot!$B$298,"Ward",C238)</f>
        <v>-1</v>
      </c>
      <c r="I238" s="213"/>
      <c r="J238" s="213"/>
      <c r="K238" s="213"/>
      <c r="L238" s="173"/>
      <c r="M238" s="173"/>
      <c r="N238" s="173"/>
      <c r="O238" s="173"/>
      <c r="P238" s="173"/>
      <c r="Q238" s="173"/>
      <c r="R238" s="22"/>
      <c r="S238" s="66"/>
    </row>
    <row r="239" spans="2:19" x14ac:dyDescent="0.2">
      <c r="B239" s="232"/>
      <c r="C239" s="299" t="s">
        <v>1418</v>
      </c>
      <c r="D239" s="300"/>
      <c r="E239" s="300"/>
      <c r="F239" s="123">
        <f>GETPIVOTDATA("Sum of Units Proposed",Pivot!$B$298,"Ward",C239)</f>
        <v>17</v>
      </c>
      <c r="G239" s="142">
        <f>GETPIVOTDATA("Sum of Units Existing",Pivot!$B$298,"Ward",C239)</f>
        <v>2</v>
      </c>
      <c r="H239" s="142">
        <f>GETPIVOTDATA("Sum of Net Dwellings",Pivot!$B$298,"Ward",C239)</f>
        <v>15</v>
      </c>
      <c r="I239" s="213"/>
      <c r="J239" s="213"/>
      <c r="K239" s="213"/>
      <c r="L239" s="173"/>
      <c r="M239" s="173"/>
      <c r="N239" s="173"/>
      <c r="O239" s="173"/>
      <c r="P239" s="173"/>
      <c r="Q239" s="173"/>
      <c r="R239" s="22"/>
      <c r="S239" s="66"/>
    </row>
    <row r="240" spans="2:19" x14ac:dyDescent="0.2">
      <c r="B240" s="232"/>
      <c r="C240" s="299" t="s">
        <v>1419</v>
      </c>
      <c r="D240" s="300"/>
      <c r="E240" s="300"/>
      <c r="F240" s="123">
        <f>GETPIVOTDATA("Sum of Units Proposed",Pivot!$B$298,"Ward",C240)</f>
        <v>4</v>
      </c>
      <c r="G240" s="142">
        <f>GETPIVOTDATA("Sum of Units Existing",Pivot!$B$298,"Ward",C240)</f>
        <v>3</v>
      </c>
      <c r="H240" s="142">
        <f>GETPIVOTDATA("Sum of Net Dwellings",Pivot!$B$298,"Ward",C240)</f>
        <v>1</v>
      </c>
      <c r="I240" s="213"/>
      <c r="J240" s="213"/>
      <c r="K240" s="213"/>
      <c r="L240" s="173"/>
      <c r="M240" s="173"/>
      <c r="N240" s="173"/>
      <c r="O240" s="173"/>
      <c r="P240" s="173"/>
      <c r="Q240" s="173"/>
      <c r="R240" s="22"/>
      <c r="S240" s="66"/>
    </row>
    <row r="241" spans="2:19" x14ac:dyDescent="0.2">
      <c r="B241" s="232"/>
      <c r="C241" s="299" t="s">
        <v>1420</v>
      </c>
      <c r="D241" s="300"/>
      <c r="E241" s="300"/>
      <c r="F241" s="123">
        <f>GETPIVOTDATA("Sum of Units Proposed",Pivot!$B$298,"Ward",C241)</f>
        <v>9</v>
      </c>
      <c r="G241" s="142">
        <f>GETPIVOTDATA("Sum of Units Existing",Pivot!$B$298,"Ward",C241)</f>
        <v>2</v>
      </c>
      <c r="H241" s="142">
        <f>GETPIVOTDATA("Sum of Net Dwellings",Pivot!$B$298,"Ward",C241)</f>
        <v>7</v>
      </c>
      <c r="I241" s="213"/>
      <c r="J241" s="213"/>
      <c r="K241" s="213"/>
      <c r="L241" s="173"/>
      <c r="M241" s="173"/>
      <c r="N241" s="173"/>
      <c r="O241" s="173"/>
      <c r="P241" s="173"/>
      <c r="Q241" s="173"/>
      <c r="R241" s="22"/>
      <c r="S241" s="66"/>
    </row>
    <row r="242" spans="2:19" x14ac:dyDescent="0.2">
      <c r="B242" s="232"/>
      <c r="C242" s="299" t="s">
        <v>1459</v>
      </c>
      <c r="D242" s="300"/>
      <c r="E242" s="300"/>
      <c r="F242" s="123">
        <f>GETPIVOTDATA("Sum of Units Proposed",Pivot!$B$298,"Ward",C242)</f>
        <v>11</v>
      </c>
      <c r="G242" s="142">
        <f>GETPIVOTDATA("Sum of Units Existing",Pivot!$B$298,"Ward",C242)</f>
        <v>0</v>
      </c>
      <c r="H242" s="142">
        <f>GETPIVOTDATA("Sum of Net Dwellings",Pivot!$B$298,"Ward",C242)</f>
        <v>11</v>
      </c>
      <c r="I242" s="213"/>
      <c r="J242" s="213"/>
      <c r="K242" s="213"/>
      <c r="L242" s="173"/>
      <c r="M242" s="173"/>
      <c r="N242" s="173"/>
      <c r="O242" s="173"/>
      <c r="P242" s="173"/>
      <c r="Q242" s="173"/>
      <c r="R242" s="22"/>
      <c r="S242" s="66"/>
    </row>
    <row r="243" spans="2:19" x14ac:dyDescent="0.2">
      <c r="B243" s="232"/>
      <c r="C243" s="299" t="s">
        <v>1422</v>
      </c>
      <c r="D243" s="300"/>
      <c r="E243" s="300"/>
      <c r="F243" s="123">
        <f>GETPIVOTDATA("Sum of Units Proposed",Pivot!$B$298,"Ward",C243)</f>
        <v>5</v>
      </c>
      <c r="G243" s="142">
        <f>GETPIVOTDATA("Sum of Units Existing",Pivot!$B$298,"Ward",C243)</f>
        <v>1</v>
      </c>
      <c r="H243" s="142">
        <f>GETPIVOTDATA("Sum of Net Dwellings",Pivot!$B$298,"Ward",C243)</f>
        <v>4</v>
      </c>
      <c r="I243" s="213"/>
      <c r="J243" s="213"/>
      <c r="K243" s="213"/>
      <c r="L243" s="173"/>
      <c r="M243" s="173"/>
      <c r="N243" s="173"/>
      <c r="O243" s="173"/>
      <c r="P243" s="173"/>
      <c r="Q243" s="173"/>
      <c r="R243" s="22"/>
      <c r="S243" s="66"/>
    </row>
    <row r="244" spans="2:19" x14ac:dyDescent="0.2">
      <c r="B244" s="232"/>
      <c r="C244" s="299" t="s">
        <v>1423</v>
      </c>
      <c r="D244" s="300"/>
      <c r="E244" s="300"/>
      <c r="F244" s="123">
        <f>GETPIVOTDATA("Sum of Units Proposed",Pivot!$B$298,"Ward",C244)</f>
        <v>7</v>
      </c>
      <c r="G244" s="142">
        <f>GETPIVOTDATA("Sum of Units Existing",Pivot!$B$298,"Ward",C244)</f>
        <v>7</v>
      </c>
      <c r="H244" s="142">
        <f>GETPIVOTDATA("Sum of Net Dwellings",Pivot!$B$298,"Ward",C244)</f>
        <v>0</v>
      </c>
      <c r="I244" s="213"/>
      <c r="J244" s="213"/>
      <c r="K244" s="213"/>
      <c r="L244" s="173"/>
      <c r="M244" s="173"/>
      <c r="N244" s="173"/>
      <c r="O244" s="173"/>
      <c r="P244" s="173"/>
      <c r="Q244" s="173"/>
      <c r="R244" s="22"/>
      <c r="S244" s="66"/>
    </row>
    <row r="245" spans="2:19" x14ac:dyDescent="0.2">
      <c r="B245" s="232"/>
      <c r="C245" s="299" t="s">
        <v>1424</v>
      </c>
      <c r="D245" s="300"/>
      <c r="E245" s="300"/>
      <c r="F245" s="123">
        <f>GETPIVOTDATA("Sum of Units Proposed",Pivot!$B$298,"Ward",C245)</f>
        <v>14</v>
      </c>
      <c r="G245" s="142">
        <f>GETPIVOTDATA("Sum of Units Existing",Pivot!$B$298,"Ward",C245)</f>
        <v>2</v>
      </c>
      <c r="H245" s="142">
        <f>GETPIVOTDATA("Sum of Net Dwellings",Pivot!$B$298,"Ward",C245)</f>
        <v>12</v>
      </c>
      <c r="I245" s="213"/>
      <c r="J245" s="213"/>
      <c r="K245" s="213"/>
      <c r="L245" s="173"/>
      <c r="M245" s="173"/>
      <c r="N245" s="173"/>
      <c r="O245" s="173"/>
      <c r="P245" s="173"/>
      <c r="Q245" s="173"/>
      <c r="R245" s="22"/>
      <c r="S245" s="66"/>
    </row>
    <row r="246" spans="2:19" x14ac:dyDescent="0.2">
      <c r="B246" s="232"/>
      <c r="C246" s="299" t="s">
        <v>1488</v>
      </c>
      <c r="D246" s="300"/>
      <c r="E246" s="300"/>
      <c r="F246" s="123">
        <f>GETPIVOTDATA("Sum of Units Proposed",Pivot!$B$298,"Ward",C246)</f>
        <v>34</v>
      </c>
      <c r="G246" s="142">
        <f>GETPIVOTDATA("Sum of Units Existing",Pivot!$B$298,"Ward",C246)</f>
        <v>6</v>
      </c>
      <c r="H246" s="142">
        <f>GETPIVOTDATA("Sum of Net Dwellings",Pivot!$B$298,"Ward",C246)</f>
        <v>28</v>
      </c>
      <c r="I246" s="213"/>
      <c r="J246" s="213"/>
      <c r="K246" s="213"/>
      <c r="L246" s="173"/>
      <c r="M246" s="173"/>
      <c r="N246" s="173"/>
      <c r="O246" s="173"/>
      <c r="P246" s="173"/>
      <c r="Q246" s="173"/>
      <c r="R246" s="22"/>
      <c r="S246" s="66"/>
    </row>
    <row r="247" spans="2:19" x14ac:dyDescent="0.2">
      <c r="B247" s="232"/>
      <c r="C247" s="299" t="s">
        <v>1405</v>
      </c>
      <c r="D247" s="300"/>
      <c r="E247" s="300"/>
      <c r="F247" s="123">
        <f>GETPIVOTDATA("Sum of Units Proposed",Pivot!$B$298,"Ward",C247)</f>
        <v>169</v>
      </c>
      <c r="G247" s="142">
        <f>GETPIVOTDATA("Sum of Units Existing",Pivot!$B$298,"Ward",C247)</f>
        <v>5</v>
      </c>
      <c r="H247" s="142">
        <f>GETPIVOTDATA("Sum of Net Dwellings",Pivot!$B$298,"Ward",C247)</f>
        <v>164</v>
      </c>
      <c r="I247" s="213"/>
      <c r="J247" s="213"/>
      <c r="K247" s="213"/>
      <c r="L247" s="173"/>
      <c r="M247" s="173"/>
      <c r="N247" s="173"/>
      <c r="O247" s="173"/>
      <c r="P247" s="173"/>
      <c r="Q247" s="173"/>
      <c r="R247" s="22"/>
      <c r="S247" s="66"/>
    </row>
    <row r="248" spans="2:19" x14ac:dyDescent="0.2">
      <c r="B248" s="232"/>
      <c r="C248" s="299" t="s">
        <v>1426</v>
      </c>
      <c r="D248" s="300"/>
      <c r="E248" s="300"/>
      <c r="F248" s="123">
        <f>GETPIVOTDATA("Sum of Units Proposed",Pivot!$B$298,"Ward",C248)</f>
        <v>11</v>
      </c>
      <c r="G248" s="142">
        <f>GETPIVOTDATA("Sum of Units Existing",Pivot!$B$298,"Ward",C248)</f>
        <v>4</v>
      </c>
      <c r="H248" s="142">
        <f>GETPIVOTDATA("Sum of Net Dwellings",Pivot!$B$298,"Ward",C248)</f>
        <v>7</v>
      </c>
      <c r="I248" s="213"/>
      <c r="J248" s="213"/>
      <c r="K248" s="213"/>
      <c r="L248" s="173"/>
      <c r="M248" s="173"/>
      <c r="N248" s="173"/>
      <c r="O248" s="173"/>
      <c r="P248" s="173"/>
      <c r="Q248" s="173"/>
      <c r="R248" s="22"/>
      <c r="S248" s="66"/>
    </row>
    <row r="249" spans="2:19" x14ac:dyDescent="0.2">
      <c r="B249" s="232"/>
      <c r="C249" s="299" t="s">
        <v>1427</v>
      </c>
      <c r="D249" s="300"/>
      <c r="E249" s="300"/>
      <c r="F249" s="123">
        <f>GETPIVOTDATA("Sum of Units Proposed",Pivot!$B$298,"Ward",C249)</f>
        <v>5</v>
      </c>
      <c r="G249" s="142">
        <f>GETPIVOTDATA("Sum of Units Existing",Pivot!$B$298,"Ward",C249)</f>
        <v>3</v>
      </c>
      <c r="H249" s="142">
        <f>GETPIVOTDATA("Sum of Net Dwellings",Pivot!$B$298,"Ward",C249)</f>
        <v>2</v>
      </c>
      <c r="I249" s="213"/>
      <c r="J249" s="213"/>
      <c r="K249" s="213"/>
      <c r="L249" s="173"/>
      <c r="M249" s="173"/>
      <c r="N249" s="173"/>
      <c r="O249" s="173"/>
      <c r="P249" s="173"/>
      <c r="Q249" s="173"/>
      <c r="R249" s="22"/>
      <c r="S249" s="66"/>
    </row>
    <row r="250" spans="2:19" x14ac:dyDescent="0.2">
      <c r="B250" s="232"/>
      <c r="C250" s="299" t="s">
        <v>1428</v>
      </c>
      <c r="D250" s="300"/>
      <c r="E250" s="300"/>
      <c r="F250" s="123">
        <f>GETPIVOTDATA("Sum of Units Proposed",Pivot!$B$298,"Ward",C250)</f>
        <v>6</v>
      </c>
      <c r="G250" s="142">
        <f>GETPIVOTDATA("Sum of Units Existing",Pivot!$B$298,"Ward",C250)</f>
        <v>1</v>
      </c>
      <c r="H250" s="142">
        <f>GETPIVOTDATA("Sum of Net Dwellings",Pivot!$B$298,"Ward",C250)</f>
        <v>5</v>
      </c>
      <c r="I250" s="213"/>
      <c r="J250" s="213"/>
      <c r="K250" s="213"/>
      <c r="L250" s="173"/>
      <c r="M250" s="173"/>
      <c r="N250" s="173"/>
      <c r="O250" s="173"/>
      <c r="P250" s="173"/>
      <c r="Q250" s="173"/>
      <c r="R250" s="22"/>
      <c r="S250" s="66"/>
    </row>
    <row r="251" spans="2:19" x14ac:dyDescent="0.2">
      <c r="B251" s="232"/>
      <c r="C251" s="301" t="s">
        <v>1122</v>
      </c>
      <c r="D251" s="302"/>
      <c r="E251" s="302"/>
      <c r="F251" s="98">
        <f>SUM(F233:F250)</f>
        <v>382</v>
      </c>
      <c r="G251" s="98">
        <f>SUM(G233:G250)</f>
        <v>51</v>
      </c>
      <c r="H251" s="98">
        <f>SUM(H233:H250)</f>
        <v>331</v>
      </c>
      <c r="I251" s="213"/>
      <c r="J251" s="213"/>
      <c r="K251" s="213"/>
      <c r="L251" s="173"/>
      <c r="M251" s="173"/>
      <c r="N251" s="173"/>
      <c r="O251" s="173"/>
      <c r="P251" s="173"/>
      <c r="Q251" s="173"/>
      <c r="R251" s="22"/>
      <c r="S251" s="66"/>
    </row>
    <row r="252" spans="2:19" x14ac:dyDescent="0.2">
      <c r="B252" s="61"/>
      <c r="C252" s="214"/>
      <c r="D252" s="214"/>
      <c r="E252" s="214"/>
      <c r="F252" s="207"/>
      <c r="G252" s="207"/>
      <c r="H252" s="207"/>
      <c r="I252" s="213"/>
      <c r="J252" s="213"/>
      <c r="K252" s="213"/>
      <c r="L252" s="173"/>
      <c r="M252" s="173"/>
      <c r="N252" s="173"/>
      <c r="O252" s="173"/>
      <c r="P252" s="173"/>
      <c r="Q252" s="173"/>
      <c r="R252" s="22"/>
      <c r="S252" s="66"/>
    </row>
    <row r="253" spans="2:19" x14ac:dyDescent="0.2">
      <c r="B253" s="61"/>
      <c r="C253" s="214"/>
      <c r="D253" s="214"/>
      <c r="E253" s="214"/>
      <c r="F253" s="207"/>
      <c r="G253" s="207"/>
      <c r="H253" s="207"/>
      <c r="I253" s="213"/>
      <c r="J253" s="213"/>
      <c r="K253" s="213"/>
      <c r="L253" s="173"/>
      <c r="M253" s="173"/>
      <c r="N253" s="173"/>
      <c r="O253" s="173"/>
      <c r="P253" s="173"/>
      <c r="Q253" s="173"/>
      <c r="R253" s="22"/>
      <c r="S253" s="66"/>
    </row>
    <row r="254" spans="2:19" x14ac:dyDescent="0.2">
      <c r="B254" s="61"/>
      <c r="C254" s="214"/>
      <c r="D254" s="214"/>
      <c r="E254" s="214"/>
      <c r="F254" s="207"/>
      <c r="G254" s="207"/>
      <c r="H254" s="207"/>
      <c r="I254" s="213"/>
      <c r="J254" s="213"/>
      <c r="K254" s="213"/>
      <c r="L254" s="173"/>
      <c r="M254" s="173"/>
      <c r="N254" s="173"/>
      <c r="O254" s="173"/>
      <c r="P254" s="173"/>
      <c r="Q254" s="173"/>
      <c r="R254" s="22"/>
      <c r="S254" s="66"/>
    </row>
    <row r="255" spans="2:19" x14ac:dyDescent="0.2">
      <c r="B255" s="70"/>
      <c r="C255" s="73"/>
      <c r="D255" s="73"/>
      <c r="E255" s="73"/>
      <c r="F255" s="74"/>
      <c r="G255" s="74"/>
      <c r="H255" s="74"/>
      <c r="I255" s="76"/>
      <c r="J255" s="76"/>
      <c r="K255" s="76"/>
      <c r="L255" s="10"/>
      <c r="M255" s="10"/>
      <c r="N255" s="10"/>
      <c r="O255" s="10"/>
      <c r="P255" s="10"/>
      <c r="Q255" s="10"/>
      <c r="R255" s="65"/>
      <c r="S255" s="67"/>
    </row>
    <row r="256" spans="2:19" x14ac:dyDescent="0.2">
      <c r="B256" s="61"/>
      <c r="C256" s="206"/>
      <c r="D256" s="206"/>
      <c r="E256" s="215"/>
      <c r="F256" s="215"/>
      <c r="G256" s="215"/>
      <c r="H256" s="215"/>
      <c r="I256" s="215"/>
      <c r="J256" s="215"/>
      <c r="K256" s="215"/>
      <c r="L256" s="215"/>
      <c r="M256" s="215"/>
      <c r="N256" s="173"/>
      <c r="O256" s="173"/>
      <c r="P256" s="173"/>
      <c r="Q256" s="173"/>
      <c r="R256" s="22"/>
      <c r="S256" s="66"/>
    </row>
    <row r="257" spans="2:19" ht="20.25" x14ac:dyDescent="0.3">
      <c r="B257" s="61"/>
      <c r="C257" s="208" t="s">
        <v>1433</v>
      </c>
      <c r="D257" s="173"/>
      <c r="E257" s="173"/>
      <c r="F257" s="173"/>
      <c r="G257" s="173"/>
      <c r="H257" s="173"/>
      <c r="I257" s="173"/>
      <c r="J257" s="173"/>
      <c r="K257" s="173"/>
      <c r="L257" s="173"/>
      <c r="M257" s="173"/>
      <c r="N257" s="173"/>
      <c r="O257" s="173"/>
      <c r="P257" s="173"/>
      <c r="Q257" s="173"/>
      <c r="R257" s="22"/>
      <c r="S257" s="66"/>
    </row>
    <row r="258" spans="2:19" x14ac:dyDescent="0.2">
      <c r="B258" s="61"/>
      <c r="C258" s="173"/>
      <c r="D258" s="173"/>
      <c r="E258" s="173"/>
      <c r="F258" s="173"/>
      <c r="G258" s="173"/>
      <c r="H258" s="173"/>
      <c r="I258" s="173"/>
      <c r="J258" s="173"/>
      <c r="K258" s="173"/>
      <c r="L258" s="173"/>
      <c r="M258" s="173"/>
      <c r="N258" s="173"/>
      <c r="O258" s="173"/>
      <c r="P258" s="173"/>
      <c r="Q258" s="173"/>
      <c r="R258" s="22"/>
      <c r="S258" s="66"/>
    </row>
    <row r="259" spans="2:19" x14ac:dyDescent="0.2">
      <c r="B259" s="61"/>
      <c r="C259" s="172" t="s">
        <v>1446</v>
      </c>
      <c r="D259" s="172" t="s">
        <v>1435</v>
      </c>
      <c r="E259" s="173"/>
      <c r="F259" s="173"/>
      <c r="G259" s="173"/>
      <c r="H259" s="173"/>
      <c r="I259" s="173"/>
      <c r="J259" s="173"/>
      <c r="K259" s="173"/>
      <c r="L259" s="22"/>
      <c r="M259" s="216" t="s">
        <v>1436</v>
      </c>
      <c r="N259" s="22"/>
      <c r="O259" s="173"/>
      <c r="P259" s="173"/>
      <c r="Q259" s="173"/>
      <c r="R259" s="22"/>
      <c r="S259" s="66"/>
    </row>
    <row r="260" spans="2:19" x14ac:dyDescent="0.2">
      <c r="B260" s="232"/>
      <c r="C260" s="297"/>
      <c r="D260" s="298"/>
      <c r="E260" s="165" t="s">
        <v>1437</v>
      </c>
      <c r="F260" s="165" t="s">
        <v>1438</v>
      </c>
      <c r="G260" s="165" t="s">
        <v>1439</v>
      </c>
      <c r="H260" s="165" t="s">
        <v>1440</v>
      </c>
      <c r="I260" s="165" t="s">
        <v>1441</v>
      </c>
      <c r="J260" s="165" t="s">
        <v>1122</v>
      </c>
      <c r="K260" s="173"/>
      <c r="L260" s="173"/>
      <c r="M260" s="173"/>
      <c r="N260" s="173"/>
      <c r="O260" s="173"/>
      <c r="P260" s="173"/>
      <c r="Q260" s="22"/>
      <c r="R260" s="22"/>
      <c r="S260" s="66"/>
    </row>
    <row r="261" spans="2:19" x14ac:dyDescent="0.2">
      <c r="B261" s="232"/>
      <c r="C261" s="290" t="s">
        <v>1442</v>
      </c>
      <c r="D261" s="291"/>
      <c r="E261" s="123">
        <f>GETPIVOTDATA("Sum of 1 bed net",Pivot!$B$325,"Tenure","Open Market")</f>
        <v>44</v>
      </c>
      <c r="F261" s="123">
        <f>GETPIVOTDATA("Sum of 2 bed net",Pivot!$B$325,"Tenure","Open Market")</f>
        <v>114</v>
      </c>
      <c r="G261" s="123">
        <f>GETPIVOTDATA("Sum of 3 bed net",Pivot!$B$325,"Tenure","Open Market")</f>
        <v>62</v>
      </c>
      <c r="H261" s="123">
        <f>GETPIVOTDATA("Sum of 4 bed net",Pivot!$B$325,"Tenure","Open Market")+GETPIVOTDATA("Sum of 5 bed net",Pivot!$B$325,"Tenure","Open Market")+GETPIVOTDATA("Sum of 6 bed net",Pivot!$B$325,"Tenure","Open Market")</f>
        <v>15</v>
      </c>
      <c r="I261" s="123">
        <v>0</v>
      </c>
      <c r="J261" s="123">
        <f t="shared" ref="J261:J266" si="12">SUM(D261:I261)</f>
        <v>235</v>
      </c>
      <c r="K261" s="173"/>
      <c r="L261" s="173"/>
      <c r="M261" s="173"/>
      <c r="N261" s="173"/>
      <c r="O261" s="173"/>
      <c r="P261" s="173"/>
      <c r="Q261" s="22"/>
      <c r="R261" s="22"/>
      <c r="S261" s="66"/>
    </row>
    <row r="262" spans="2:19" x14ac:dyDescent="0.2">
      <c r="B262" s="232"/>
      <c r="C262" s="290"/>
      <c r="D262" s="291"/>
      <c r="E262" s="143">
        <f>E261/$J$267</f>
        <v>0.16356877323420074</v>
      </c>
      <c r="F262" s="143">
        <f>F261/$J$267</f>
        <v>0.42379182156133827</v>
      </c>
      <c r="G262" s="143">
        <f>G261/$J$267</f>
        <v>0.23048327137546468</v>
      </c>
      <c r="H262" s="143">
        <f>H261/$J$267</f>
        <v>5.5762081784386616E-2</v>
      </c>
      <c r="I262" s="143">
        <f>I261/$J$267</f>
        <v>0</v>
      </c>
      <c r="J262" s="143">
        <f t="shared" si="12"/>
        <v>0.87360594795539026</v>
      </c>
      <c r="K262" s="173"/>
      <c r="L262" s="173"/>
      <c r="M262" s="173"/>
      <c r="N262" s="173"/>
      <c r="O262" s="173"/>
      <c r="P262" s="173"/>
      <c r="Q262" s="22"/>
      <c r="R262" s="22"/>
      <c r="S262" s="66"/>
    </row>
    <row r="263" spans="2:19" x14ac:dyDescent="0.2">
      <c r="B263" s="232"/>
      <c r="C263" s="290" t="s">
        <v>1174</v>
      </c>
      <c r="D263" s="291"/>
      <c r="E263" s="123">
        <v>0</v>
      </c>
      <c r="F263" s="123">
        <v>0</v>
      </c>
      <c r="G263" s="123">
        <v>0</v>
      </c>
      <c r="H263" s="123">
        <v>0</v>
      </c>
      <c r="I263" s="123">
        <v>0</v>
      </c>
      <c r="J263" s="123">
        <f t="shared" si="12"/>
        <v>0</v>
      </c>
      <c r="K263" s="173"/>
      <c r="L263" s="173"/>
      <c r="M263" s="114"/>
      <c r="N263" s="114"/>
      <c r="O263" s="114"/>
      <c r="P263" s="114"/>
      <c r="Q263" s="22"/>
      <c r="R263" s="22"/>
      <c r="S263" s="66"/>
    </row>
    <row r="264" spans="2:19" x14ac:dyDescent="0.2">
      <c r="B264" s="232"/>
      <c r="C264" s="290"/>
      <c r="D264" s="291"/>
      <c r="E264" s="143">
        <f>E263/$J$267</f>
        <v>0</v>
      </c>
      <c r="F264" s="143">
        <f>F263/$J$267</f>
        <v>0</v>
      </c>
      <c r="G264" s="143">
        <f>G263/$J$267</f>
        <v>0</v>
      </c>
      <c r="H264" s="143">
        <f>H263/$J$267</f>
        <v>0</v>
      </c>
      <c r="I264" s="143">
        <f>I263/$J$267</f>
        <v>0</v>
      </c>
      <c r="J264" s="143">
        <f t="shared" si="12"/>
        <v>0</v>
      </c>
      <c r="K264" s="173"/>
      <c r="L264" s="173"/>
      <c r="M264" s="173"/>
      <c r="N264" s="173"/>
      <c r="O264" s="173"/>
      <c r="P264" s="173"/>
      <c r="Q264" s="22"/>
      <c r="R264" s="22"/>
      <c r="S264" s="66"/>
    </row>
    <row r="265" spans="2:19" x14ac:dyDescent="0.2">
      <c r="B265" s="232"/>
      <c r="C265" s="290" t="s">
        <v>1443</v>
      </c>
      <c r="D265" s="291"/>
      <c r="E265" s="123">
        <f>GETPIVOTDATA("Sum of 1 bed net",Pivot!$B$325,"Tenure","Affordable Rent")</f>
        <v>9</v>
      </c>
      <c r="F265" s="123">
        <f>GETPIVOTDATA("Sum of 2 bed net",Pivot!$B$325,"Tenure","Affordable Rent")</f>
        <v>20</v>
      </c>
      <c r="G265" s="123">
        <f>GETPIVOTDATA("Sum of 3 bed net",Pivot!$B$325,"Tenure","Affordable Rent")</f>
        <v>5</v>
      </c>
      <c r="H265" s="123">
        <v>0</v>
      </c>
      <c r="I265" s="123">
        <v>0</v>
      </c>
      <c r="J265" s="123">
        <f t="shared" si="12"/>
        <v>34</v>
      </c>
      <c r="K265" s="173"/>
      <c r="L265" s="173"/>
      <c r="M265" s="173"/>
      <c r="N265" s="173"/>
      <c r="O265" s="173"/>
      <c r="P265" s="173"/>
      <c r="Q265" s="22"/>
      <c r="R265" s="22"/>
      <c r="S265" s="66"/>
    </row>
    <row r="266" spans="2:19" x14ac:dyDescent="0.2">
      <c r="B266" s="232"/>
      <c r="C266" s="290"/>
      <c r="D266" s="291"/>
      <c r="E266" s="143">
        <f>E265/$J$267</f>
        <v>3.3457249070631967E-2</v>
      </c>
      <c r="F266" s="143">
        <f>F265/$J$267</f>
        <v>7.434944237918216E-2</v>
      </c>
      <c r="G266" s="143">
        <f>G265/$J$267</f>
        <v>1.858736059479554E-2</v>
      </c>
      <c r="H266" s="143">
        <f>H265/$J$267</f>
        <v>0</v>
      </c>
      <c r="I266" s="143">
        <f>I265/$J$267</f>
        <v>0</v>
      </c>
      <c r="J266" s="143">
        <f t="shared" si="12"/>
        <v>0.12639405204460966</v>
      </c>
      <c r="K266" s="173"/>
      <c r="L266" s="173"/>
      <c r="M266" s="173"/>
      <c r="N266" s="173"/>
      <c r="O266" s="173"/>
      <c r="P266" s="173"/>
      <c r="Q266" s="22"/>
      <c r="R266" s="22"/>
      <c r="S266" s="66"/>
    </row>
    <row r="267" spans="2:19" x14ac:dyDescent="0.2">
      <c r="B267" s="232"/>
      <c r="C267" s="292" t="s">
        <v>1122</v>
      </c>
      <c r="D267" s="293"/>
      <c r="E267" s="98">
        <f>E261+E263+E265</f>
        <v>53</v>
      </c>
      <c r="F267" s="98">
        <f t="shared" ref="F267:I267" si="13">F261+F263+F265</f>
        <v>134</v>
      </c>
      <c r="G267" s="98">
        <f t="shared" si="13"/>
        <v>67</v>
      </c>
      <c r="H267" s="98">
        <f t="shared" si="13"/>
        <v>15</v>
      </c>
      <c r="I267" s="98">
        <f t="shared" si="13"/>
        <v>0</v>
      </c>
      <c r="J267" s="98">
        <f>SUM(D267:I267)</f>
        <v>269</v>
      </c>
      <c r="K267" s="173"/>
      <c r="L267" s="173"/>
      <c r="M267" s="173"/>
      <c r="N267" s="173"/>
      <c r="O267" s="173"/>
      <c r="P267" s="173"/>
      <c r="Q267" s="22"/>
      <c r="R267" s="22"/>
      <c r="S267" s="66"/>
    </row>
    <row r="268" spans="2:19" x14ac:dyDescent="0.2">
      <c r="B268" s="232"/>
      <c r="C268" s="292"/>
      <c r="D268" s="293"/>
      <c r="E268" s="102">
        <f>E267/$J$267</f>
        <v>0.19702602230483271</v>
      </c>
      <c r="F268" s="102">
        <f>F267/$J$267</f>
        <v>0.49814126394052044</v>
      </c>
      <c r="G268" s="102">
        <f>G267/$J$267</f>
        <v>0.24907063197026022</v>
      </c>
      <c r="H268" s="102">
        <f>H267/$J$267</f>
        <v>5.5762081784386616E-2</v>
      </c>
      <c r="I268" s="102">
        <f>I267/$J$267</f>
        <v>0</v>
      </c>
      <c r="J268" s="102">
        <f>SUM(E268:I268)</f>
        <v>1</v>
      </c>
      <c r="K268" s="173"/>
      <c r="L268" s="173"/>
      <c r="M268" s="173"/>
      <c r="N268" s="173"/>
      <c r="O268" s="173"/>
      <c r="P268" s="173"/>
      <c r="Q268" s="22"/>
      <c r="R268" s="22"/>
      <c r="S268" s="66"/>
    </row>
    <row r="269" spans="2:19" x14ac:dyDescent="0.2">
      <c r="B269" s="61"/>
      <c r="C269" s="173"/>
      <c r="D269" s="217"/>
      <c r="E269" s="217"/>
      <c r="F269" s="217"/>
      <c r="G269" s="217"/>
      <c r="H269" s="217"/>
      <c r="I269" s="217"/>
      <c r="J269" s="217"/>
      <c r="K269" s="173"/>
      <c r="L269" s="173"/>
      <c r="M269" s="173"/>
      <c r="N269" s="173"/>
      <c r="O269" s="173"/>
      <c r="P269" s="173"/>
      <c r="Q269" s="173"/>
      <c r="R269" s="22"/>
      <c r="S269" s="66"/>
    </row>
    <row r="270" spans="2:19" x14ac:dyDescent="0.2">
      <c r="B270" s="61"/>
      <c r="C270" s="172"/>
      <c r="D270" s="114"/>
      <c r="E270" s="114"/>
      <c r="F270" s="114"/>
      <c r="G270" s="114"/>
      <c r="H270" s="114"/>
      <c r="I270" s="114"/>
      <c r="J270" s="114"/>
      <c r="K270" s="114"/>
      <c r="L270" s="114"/>
      <c r="M270" s="114"/>
      <c r="N270" s="173"/>
      <c r="O270" s="173"/>
      <c r="P270" s="173"/>
      <c r="Q270" s="173"/>
      <c r="R270" s="22"/>
      <c r="S270" s="66"/>
    </row>
    <row r="271" spans="2:19" x14ac:dyDescent="0.2">
      <c r="B271" s="61"/>
      <c r="C271" s="172" t="s">
        <v>1450</v>
      </c>
      <c r="D271" s="172" t="s">
        <v>1445</v>
      </c>
      <c r="E271" s="173"/>
      <c r="F271" s="173"/>
      <c r="G271" s="173"/>
      <c r="H271" s="173"/>
      <c r="I271" s="173"/>
      <c r="J271" s="173"/>
      <c r="K271" s="173"/>
      <c r="L271" s="22"/>
      <c r="M271" s="172" t="s">
        <v>1590</v>
      </c>
      <c r="N271" s="22"/>
      <c r="O271" s="173"/>
      <c r="P271" s="173"/>
      <c r="Q271" s="173"/>
      <c r="R271" s="22"/>
      <c r="S271" s="66"/>
    </row>
    <row r="272" spans="2:19" x14ac:dyDescent="0.2">
      <c r="B272" s="232"/>
      <c r="C272" s="297"/>
      <c r="D272" s="298"/>
      <c r="E272" s="165" t="s">
        <v>1437</v>
      </c>
      <c r="F272" s="165" t="s">
        <v>1438</v>
      </c>
      <c r="G272" s="165" t="s">
        <v>1439</v>
      </c>
      <c r="H272" s="165" t="s">
        <v>1440</v>
      </c>
      <c r="I272" s="165" t="s">
        <v>1441</v>
      </c>
      <c r="J272" s="165" t="s">
        <v>1122</v>
      </c>
      <c r="K272" s="173"/>
      <c r="L272" s="173"/>
      <c r="M272" s="173"/>
      <c r="N272" s="173"/>
      <c r="O272" s="173"/>
      <c r="P272" s="173"/>
      <c r="Q272" s="22"/>
      <c r="R272" s="22"/>
      <c r="S272" s="66"/>
    </row>
    <row r="273" spans="2:19" x14ac:dyDescent="0.2">
      <c r="B273" s="232"/>
      <c r="C273" s="290" t="s">
        <v>1442</v>
      </c>
      <c r="D273" s="291"/>
      <c r="E273" s="123">
        <f>GETPIVOTDATA("Sum of 1 bed net",Pivot!$B$336,"Tenure","Open Market")</f>
        <v>103</v>
      </c>
      <c r="F273" s="123">
        <f>GETPIVOTDATA("Sum of 2 bed net",Pivot!$B$336,"Tenure","Open Market")</f>
        <v>208</v>
      </c>
      <c r="G273" s="123">
        <f>GETPIVOTDATA("Sum of 3 bed net",Pivot!$B$336,"Tenure","Open Market")</f>
        <v>57</v>
      </c>
      <c r="H273" s="123">
        <f>GETPIVOTDATA("Sum of 4 bed net",Pivot!$B$336,"Tenure","Open Market")+GETPIVOTDATA("Sum of 5 bed net",Pivot!$B$336,"Tenure","Open Market")+GETPIVOTDATA("Sum of 6 bed net",Pivot!$B$336,"Tenure","Open Market")</f>
        <v>44</v>
      </c>
      <c r="I273" s="123">
        <v>0</v>
      </c>
      <c r="J273" s="123">
        <f t="shared" ref="J273:J282" si="14">SUM(E273:I273)</f>
        <v>412</v>
      </c>
      <c r="K273" s="173"/>
      <c r="L273" s="173"/>
      <c r="M273" s="173"/>
      <c r="N273" s="173"/>
      <c r="O273" s="173"/>
      <c r="P273" s="173"/>
      <c r="Q273" s="22"/>
      <c r="R273" s="22"/>
      <c r="S273" s="66"/>
    </row>
    <row r="274" spans="2:19" x14ac:dyDescent="0.2">
      <c r="B274" s="232"/>
      <c r="C274" s="290"/>
      <c r="D274" s="291"/>
      <c r="E274" s="143">
        <f>E273/$J$281</f>
        <v>0.22294372294372294</v>
      </c>
      <c r="F274" s="143">
        <f>F273/$J$281</f>
        <v>0.45021645021645024</v>
      </c>
      <c r="G274" s="143">
        <f>G273/$J$281</f>
        <v>0.12337662337662338</v>
      </c>
      <c r="H274" s="143">
        <f>H273/$J$281</f>
        <v>9.5238095238095233E-2</v>
      </c>
      <c r="I274" s="143">
        <f>I273/$J$281</f>
        <v>0</v>
      </c>
      <c r="J274" s="143">
        <f t="shared" si="14"/>
        <v>0.89177489177489178</v>
      </c>
      <c r="K274" s="173"/>
      <c r="L274" s="173"/>
      <c r="M274" s="173"/>
      <c r="N274" s="173"/>
      <c r="O274" s="173"/>
      <c r="P274" s="173"/>
      <c r="Q274" s="22"/>
      <c r="R274" s="22"/>
      <c r="S274" s="66"/>
    </row>
    <row r="275" spans="2:19" x14ac:dyDescent="0.2">
      <c r="B275" s="232"/>
      <c r="C275" s="290" t="s">
        <v>1174</v>
      </c>
      <c r="D275" s="291"/>
      <c r="E275" s="123">
        <f>GETPIVOTDATA("Sum of 1 bed net",Pivot!$B$336,"Tenure","Intermediate")</f>
        <v>20</v>
      </c>
      <c r="F275" s="123">
        <f>GETPIVOTDATA("Sum of 2 bed net",Pivot!$B$336,"Tenure","Intermediate")</f>
        <v>12</v>
      </c>
      <c r="G275" s="123">
        <f>GETPIVOTDATA("Sum of 3 bed net",Pivot!$B$336,"Tenure","Intermediate")</f>
        <v>0</v>
      </c>
      <c r="H275" s="123">
        <f>GETPIVOTDATA("Sum of 5 bed net",Pivot!$B$336,"Tenure","Intermediate")</f>
        <v>0</v>
      </c>
      <c r="I275" s="123">
        <v>0</v>
      </c>
      <c r="J275" s="123">
        <f t="shared" si="14"/>
        <v>32</v>
      </c>
      <c r="K275" s="173"/>
      <c r="L275" s="173"/>
      <c r="M275" s="173"/>
      <c r="N275" s="173"/>
      <c r="O275" s="173"/>
      <c r="P275" s="173"/>
      <c r="Q275" s="22"/>
      <c r="R275" s="22"/>
      <c r="S275" s="66"/>
    </row>
    <row r="276" spans="2:19" x14ac:dyDescent="0.2">
      <c r="B276" s="232"/>
      <c r="C276" s="290"/>
      <c r="D276" s="291"/>
      <c r="E276" s="143">
        <f>E275/$J$281</f>
        <v>4.3290043290043288E-2</v>
      </c>
      <c r="F276" s="143">
        <f>F275/$J$281</f>
        <v>2.5974025974025976E-2</v>
      </c>
      <c r="G276" s="143">
        <f>G275/$J$281</f>
        <v>0</v>
      </c>
      <c r="H276" s="143">
        <f>H275/$J$281</f>
        <v>0</v>
      </c>
      <c r="I276" s="143">
        <f>I275/$J$281</f>
        <v>0</v>
      </c>
      <c r="J276" s="143">
        <f t="shared" si="14"/>
        <v>6.9264069264069264E-2</v>
      </c>
      <c r="K276" s="173"/>
      <c r="L276" s="173"/>
      <c r="M276" s="173"/>
      <c r="N276" s="173"/>
      <c r="O276" s="173"/>
      <c r="P276" s="173"/>
      <c r="Q276" s="22"/>
      <c r="R276" s="22"/>
      <c r="S276" s="66"/>
    </row>
    <row r="277" spans="2:19" x14ac:dyDescent="0.2">
      <c r="B277" s="232"/>
      <c r="C277" s="290" t="s">
        <v>1443</v>
      </c>
      <c r="D277" s="291"/>
      <c r="E277" s="123">
        <f>GETPIVOTDATA("Sum of 1 bed net",Pivot!$B$336,"Tenure","Affordable Rent")</f>
        <v>22</v>
      </c>
      <c r="F277" s="123">
        <f>GETPIVOTDATA("Sum of 2 bed net",Pivot!$B$336,"Tenure","Affordable Rent")</f>
        <v>13</v>
      </c>
      <c r="G277" s="123">
        <f>GETPIVOTDATA("Sum of 3 bed net",Pivot!$B$336,"Tenure","Affordable Rent")</f>
        <v>10</v>
      </c>
      <c r="H277" s="123">
        <f>GETPIVOTDATA("Sum of 4 bed net",Pivot!$B$336,"Tenure","Affordable Rent")</f>
        <v>3</v>
      </c>
      <c r="I277" s="123">
        <v>0</v>
      </c>
      <c r="J277" s="123">
        <f t="shared" si="14"/>
        <v>48</v>
      </c>
      <c r="K277" s="173"/>
      <c r="L277" s="173"/>
      <c r="M277" s="173"/>
      <c r="N277" s="173"/>
      <c r="O277" s="173"/>
      <c r="P277" s="173"/>
      <c r="Q277" s="22"/>
      <c r="R277" s="22"/>
      <c r="S277" s="66"/>
    </row>
    <row r="278" spans="2:19" x14ac:dyDescent="0.2">
      <c r="B278" s="232"/>
      <c r="C278" s="290"/>
      <c r="D278" s="291"/>
      <c r="E278" s="143">
        <f>E277/$J$281</f>
        <v>4.7619047619047616E-2</v>
      </c>
      <c r="F278" s="143">
        <f>F277/$J$281</f>
        <v>2.813852813852814E-2</v>
      </c>
      <c r="G278" s="143">
        <f>G277/$J$281</f>
        <v>2.1645021645021644E-2</v>
      </c>
      <c r="H278" s="143">
        <f>H277/$J$281</f>
        <v>6.4935064935064939E-3</v>
      </c>
      <c r="I278" s="143">
        <f>I277/$J$281</f>
        <v>0</v>
      </c>
      <c r="J278" s="143">
        <f t="shared" si="14"/>
        <v>0.1038961038961039</v>
      </c>
      <c r="K278" s="173"/>
      <c r="L278" s="173"/>
      <c r="M278" s="173"/>
      <c r="N278" s="173"/>
      <c r="O278" s="173"/>
      <c r="P278" s="173"/>
      <c r="Q278" s="22"/>
      <c r="R278" s="22"/>
      <c r="S278" s="66"/>
    </row>
    <row r="279" spans="2:19" x14ac:dyDescent="0.2">
      <c r="B279" s="232"/>
      <c r="C279" s="290" t="s">
        <v>1591</v>
      </c>
      <c r="D279" s="291"/>
      <c r="E279" s="123">
        <f>GETPIVOTDATA("Sum of 1 bed net",Pivot!$B$336,"Tenure","Social Rent")</f>
        <v>-29</v>
      </c>
      <c r="F279" s="123">
        <f>GETPIVOTDATA("Sum of 2 bed net",Pivot!$B$336,"Tenure","Social Rent")</f>
        <v>-1</v>
      </c>
      <c r="G279" s="123">
        <v>0</v>
      </c>
      <c r="H279" s="123">
        <v>0</v>
      </c>
      <c r="I279" s="123">
        <v>0</v>
      </c>
      <c r="J279" s="123">
        <f t="shared" si="14"/>
        <v>-30</v>
      </c>
      <c r="K279" s="173"/>
      <c r="L279" s="173"/>
      <c r="M279" s="173"/>
      <c r="N279" s="173"/>
      <c r="O279" s="173"/>
      <c r="P279" s="173"/>
      <c r="Q279" s="22"/>
      <c r="R279" s="22"/>
      <c r="S279" s="66"/>
    </row>
    <row r="280" spans="2:19" x14ac:dyDescent="0.2">
      <c r="B280" s="232"/>
      <c r="C280" s="290"/>
      <c r="D280" s="291"/>
      <c r="E280" s="143">
        <f>E279/$J$281</f>
        <v>-6.2770562770562768E-2</v>
      </c>
      <c r="F280" s="143">
        <f>F279/$J$281</f>
        <v>-2.1645021645021645E-3</v>
      </c>
      <c r="G280" s="143">
        <f>G279/$J$281</f>
        <v>0</v>
      </c>
      <c r="H280" s="143">
        <f>H279/$J$281</f>
        <v>0</v>
      </c>
      <c r="I280" s="143">
        <f>I279/$J$281</f>
        <v>0</v>
      </c>
      <c r="J280" s="143">
        <f t="shared" si="14"/>
        <v>-6.4935064935064929E-2</v>
      </c>
      <c r="K280" s="173"/>
      <c r="L280" s="173"/>
      <c r="M280" s="173"/>
      <c r="N280" s="173"/>
      <c r="O280" s="173"/>
      <c r="P280" s="173"/>
      <c r="Q280" s="22"/>
      <c r="R280" s="22"/>
      <c r="S280" s="66"/>
    </row>
    <row r="281" spans="2:19" x14ac:dyDescent="0.2">
      <c r="B281" s="232"/>
      <c r="C281" s="292" t="s">
        <v>1122</v>
      </c>
      <c r="D281" s="293"/>
      <c r="E281" s="98">
        <f>E273+E275+E277+E279</f>
        <v>116</v>
      </c>
      <c r="F281" s="98">
        <f>F273+F275+F277+F279</f>
        <v>232</v>
      </c>
      <c r="G281" s="98">
        <f>G273+G275+G277+G279</f>
        <v>67</v>
      </c>
      <c r="H281" s="98">
        <f>H273+H275+H277+H279</f>
        <v>47</v>
      </c>
      <c r="I281" s="98">
        <f>I273+I275+I277+I279</f>
        <v>0</v>
      </c>
      <c r="J281" s="98">
        <f t="shared" si="14"/>
        <v>462</v>
      </c>
      <c r="K281" s="218"/>
      <c r="L281" s="173"/>
      <c r="M281" s="173"/>
      <c r="N281" s="173"/>
      <c r="O281" s="173"/>
      <c r="P281" s="173"/>
      <c r="Q281" s="22"/>
      <c r="R281" s="22"/>
      <c r="S281" s="66"/>
    </row>
    <row r="282" spans="2:19" x14ac:dyDescent="0.2">
      <c r="B282" s="232"/>
      <c r="C282" s="292"/>
      <c r="D282" s="293"/>
      <c r="E282" s="102">
        <f>E281/$J$281</f>
        <v>0.25108225108225107</v>
      </c>
      <c r="F282" s="102">
        <f>F281/$J$281</f>
        <v>0.50216450216450215</v>
      </c>
      <c r="G282" s="102">
        <f>G281/$J$281</f>
        <v>0.14502164502164502</v>
      </c>
      <c r="H282" s="102">
        <f>H281/$J$281</f>
        <v>0.10173160173160173</v>
      </c>
      <c r="I282" s="102">
        <f>I281/$J$281</f>
        <v>0</v>
      </c>
      <c r="J282" s="102">
        <f t="shared" si="14"/>
        <v>1</v>
      </c>
      <c r="K282" s="173"/>
      <c r="L282" s="173"/>
      <c r="M282" s="173"/>
      <c r="N282" s="173"/>
      <c r="O282" s="173"/>
      <c r="P282" s="173"/>
      <c r="Q282" s="22"/>
      <c r="R282" s="22"/>
      <c r="S282" s="66"/>
    </row>
    <row r="283" spans="2:19" x14ac:dyDescent="0.2">
      <c r="B283" s="61"/>
      <c r="C283" s="173"/>
      <c r="D283" s="217"/>
      <c r="E283" s="217"/>
      <c r="F283" s="217"/>
      <c r="G283" s="217"/>
      <c r="H283" s="217"/>
      <c r="I283" s="217"/>
      <c r="J283" s="217"/>
      <c r="K283" s="173"/>
      <c r="L283" s="173"/>
      <c r="M283" s="173"/>
      <c r="N283" s="173"/>
      <c r="O283" s="173"/>
      <c r="P283" s="173"/>
      <c r="Q283" s="173"/>
      <c r="R283" s="22"/>
      <c r="S283" s="66"/>
    </row>
    <row r="284" spans="2:19" x14ac:dyDescent="0.2">
      <c r="B284" s="61"/>
      <c r="C284" s="173"/>
      <c r="D284" s="217"/>
      <c r="E284" s="217"/>
      <c r="F284" s="217"/>
      <c r="G284" s="217"/>
      <c r="H284" s="217"/>
      <c r="I284" s="217"/>
      <c r="J284" s="217"/>
      <c r="K284" s="173"/>
      <c r="L284" s="173"/>
      <c r="M284" s="173"/>
      <c r="N284" s="173"/>
      <c r="O284" s="173"/>
      <c r="P284" s="173"/>
      <c r="Q284" s="173"/>
      <c r="R284" s="22"/>
      <c r="S284" s="66"/>
    </row>
    <row r="285" spans="2:19" x14ac:dyDescent="0.2">
      <c r="B285" s="61"/>
      <c r="C285" s="22"/>
      <c r="D285" s="217"/>
      <c r="E285" s="217"/>
      <c r="F285" s="217"/>
      <c r="G285" s="217"/>
      <c r="H285" s="217"/>
      <c r="I285" s="217"/>
      <c r="J285" s="217"/>
      <c r="K285" s="173"/>
      <c r="L285" s="173"/>
      <c r="M285" s="173"/>
      <c r="N285" s="173"/>
      <c r="O285" s="173"/>
      <c r="P285" s="173"/>
      <c r="Q285" s="173"/>
      <c r="R285" s="22"/>
      <c r="S285" s="66"/>
    </row>
    <row r="286" spans="2:19" x14ac:dyDescent="0.2">
      <c r="B286" s="61"/>
      <c r="C286" s="172" t="s">
        <v>1548</v>
      </c>
      <c r="D286" s="172" t="s">
        <v>1447</v>
      </c>
      <c r="E286" s="173"/>
      <c r="F286" s="173"/>
      <c r="G286" s="173"/>
      <c r="H286" s="173"/>
      <c r="I286" s="173"/>
      <c r="J286" s="173"/>
      <c r="K286" s="173"/>
      <c r="L286" s="22"/>
      <c r="M286" s="216" t="s">
        <v>1448</v>
      </c>
      <c r="N286" s="22"/>
      <c r="O286" s="173"/>
      <c r="P286" s="173"/>
      <c r="Q286" s="173"/>
      <c r="R286" s="22"/>
      <c r="S286" s="66"/>
    </row>
    <row r="287" spans="2:19" x14ac:dyDescent="0.2">
      <c r="B287" s="232"/>
      <c r="C287" s="297"/>
      <c r="D287" s="298"/>
      <c r="E287" s="165" t="s">
        <v>1437</v>
      </c>
      <c r="F287" s="165" t="s">
        <v>1438</v>
      </c>
      <c r="G287" s="165" t="s">
        <v>1439</v>
      </c>
      <c r="H287" s="165" t="s">
        <v>1440</v>
      </c>
      <c r="I287" s="165" t="s">
        <v>1441</v>
      </c>
      <c r="J287" s="165" t="s">
        <v>1122</v>
      </c>
      <c r="K287" s="173"/>
      <c r="L287" s="173"/>
      <c r="M287" s="173"/>
      <c r="N287" s="173"/>
      <c r="O287" s="173"/>
      <c r="P287" s="173"/>
      <c r="Q287" s="22"/>
      <c r="R287" s="22"/>
      <c r="S287" s="66"/>
    </row>
    <row r="288" spans="2:19" x14ac:dyDescent="0.2">
      <c r="B288" s="232"/>
      <c r="C288" s="290" t="s">
        <v>1442</v>
      </c>
      <c r="D288" s="291"/>
      <c r="E288" s="123">
        <f>GETPIVOTDATA("Sum of 1 bed net",Pivot!$B$347,"Tenure","Open Market")</f>
        <v>50</v>
      </c>
      <c r="F288" s="123">
        <f>GETPIVOTDATA("Sum of 2 bed net",Pivot!$B$347,"Tenure","Open Market")</f>
        <v>44</v>
      </c>
      <c r="G288" s="123">
        <f>GETPIVOTDATA("Sum of 3 bed net",Pivot!$B$347,"Tenure","Open Market")</f>
        <v>28</v>
      </c>
      <c r="H288" s="123">
        <f>GETPIVOTDATA("Sum of 4 bed net",Pivot!$B$347,"Tenure","Open Market")+GETPIVOTDATA("Sum of 5 bed net",Pivot!$B$347,"Tenure","Open Market")+GETPIVOTDATA("Sum of 6 bed net",Pivot!$B$347,"Tenure","Open Market")+GETPIVOTDATA("Sum of 7 bed net",Pivot!$B$347,"Tenure","Open Market")</f>
        <v>27</v>
      </c>
      <c r="I288" s="123">
        <v>0</v>
      </c>
      <c r="J288" s="123">
        <f t="shared" ref="J288:J294" si="15">SUM(E288:I288)</f>
        <v>149</v>
      </c>
      <c r="K288" s="173"/>
      <c r="L288" s="173"/>
      <c r="M288" s="173"/>
      <c r="N288" s="173"/>
      <c r="O288" s="173"/>
      <c r="P288" s="173"/>
      <c r="Q288" s="22"/>
      <c r="R288" s="22"/>
      <c r="S288" s="66"/>
    </row>
    <row r="289" spans="2:19" x14ac:dyDescent="0.2">
      <c r="B289" s="232"/>
      <c r="C289" s="290"/>
      <c r="D289" s="291"/>
      <c r="E289" s="143">
        <f>E288/$J$281</f>
        <v>0.10822510822510822</v>
      </c>
      <c r="F289" s="143">
        <f>F288/$J$281</f>
        <v>9.5238095238095233E-2</v>
      </c>
      <c r="G289" s="143">
        <f>G288/$J$281</f>
        <v>6.0606060606060608E-2</v>
      </c>
      <c r="H289" s="143">
        <f>H288/$J$281</f>
        <v>5.844155844155844E-2</v>
      </c>
      <c r="I289" s="143">
        <f>I288/$J$281</f>
        <v>0</v>
      </c>
      <c r="J289" s="143">
        <f t="shared" si="15"/>
        <v>0.32251082251082253</v>
      </c>
      <c r="K289" s="173"/>
      <c r="L289" s="173"/>
      <c r="M289" s="173"/>
      <c r="N289" s="173"/>
      <c r="O289" s="173"/>
      <c r="P289" s="173"/>
      <c r="Q289" s="22"/>
      <c r="R289" s="22"/>
      <c r="S289" s="66"/>
    </row>
    <row r="290" spans="2:19" x14ac:dyDescent="0.2">
      <c r="B290" s="232"/>
      <c r="C290" s="290" t="s">
        <v>1174</v>
      </c>
      <c r="D290" s="291"/>
      <c r="E290" s="123">
        <v>0</v>
      </c>
      <c r="F290" s="123">
        <v>0</v>
      </c>
      <c r="G290" s="123">
        <v>0</v>
      </c>
      <c r="H290" s="123">
        <v>0</v>
      </c>
      <c r="I290" s="123">
        <v>0</v>
      </c>
      <c r="J290" s="123">
        <f t="shared" si="15"/>
        <v>0</v>
      </c>
      <c r="K290" s="173"/>
      <c r="L290" s="173"/>
      <c r="M290" s="173"/>
      <c r="N290" s="173"/>
      <c r="O290" s="173"/>
      <c r="P290" s="173"/>
      <c r="Q290" s="22"/>
      <c r="R290" s="22"/>
      <c r="S290" s="66"/>
    </row>
    <row r="291" spans="2:19" x14ac:dyDescent="0.2">
      <c r="B291" s="232"/>
      <c r="C291" s="290"/>
      <c r="D291" s="291"/>
      <c r="E291" s="143">
        <f>E290/$J$281</f>
        <v>0</v>
      </c>
      <c r="F291" s="143">
        <f>F290/$J$281</f>
        <v>0</v>
      </c>
      <c r="G291" s="143">
        <f>G290/$J$281</f>
        <v>0</v>
      </c>
      <c r="H291" s="143">
        <f>H290/$J$281</f>
        <v>0</v>
      </c>
      <c r="I291" s="143">
        <f>I290/$J$281</f>
        <v>0</v>
      </c>
      <c r="J291" s="143">
        <f t="shared" si="15"/>
        <v>0</v>
      </c>
      <c r="K291" s="173"/>
      <c r="L291" s="173"/>
      <c r="M291" s="173"/>
      <c r="N291" s="173"/>
      <c r="O291" s="173"/>
      <c r="P291" s="173"/>
      <c r="Q291" s="22"/>
      <c r="R291" s="22"/>
      <c r="S291" s="66"/>
    </row>
    <row r="292" spans="2:19" x14ac:dyDescent="0.2">
      <c r="B292" s="232"/>
      <c r="C292" s="290" t="s">
        <v>1443</v>
      </c>
      <c r="D292" s="291"/>
      <c r="E292" s="123">
        <f>GETPIVOTDATA("Sum of 1 bed net",Pivot!$B$347,"Tenure","Affordable Rent")</f>
        <v>0</v>
      </c>
      <c r="F292" s="123">
        <f>GETPIVOTDATA("Sum of 2 bed net",Pivot!$B$347,"Tenure","Affordable Rent")</f>
        <v>0</v>
      </c>
      <c r="G292" s="123">
        <f>GETPIVOTDATA("Sum of 3 bed net",Pivot!$B$347,"Tenure","Affordable Rent")</f>
        <v>3</v>
      </c>
      <c r="H292" s="123">
        <f>GETPIVOTDATA("Sum of 4 bed net",Pivot!$B$347,"Tenure","Affordable Rent")</f>
        <v>4</v>
      </c>
      <c r="I292" s="123">
        <v>0</v>
      </c>
      <c r="J292" s="123">
        <f t="shared" si="15"/>
        <v>7</v>
      </c>
      <c r="K292" s="173"/>
      <c r="L292" s="173"/>
      <c r="M292" s="173"/>
      <c r="N292" s="173"/>
      <c r="O292" s="173"/>
      <c r="P292" s="173"/>
      <c r="Q292" s="22"/>
      <c r="R292" s="22"/>
      <c r="S292" s="66"/>
    </row>
    <row r="293" spans="2:19" x14ac:dyDescent="0.2">
      <c r="B293" s="232"/>
      <c r="C293" s="290"/>
      <c r="D293" s="291"/>
      <c r="E293" s="143">
        <f>E292/$J$281</f>
        <v>0</v>
      </c>
      <c r="F293" s="143">
        <f>F292/$J$281</f>
        <v>0</v>
      </c>
      <c r="G293" s="143">
        <f>G292/$J$281</f>
        <v>6.4935064935064939E-3</v>
      </c>
      <c r="H293" s="143">
        <f>H292/$J$281</f>
        <v>8.658008658008658E-3</v>
      </c>
      <c r="I293" s="143">
        <f>I292/$J$281</f>
        <v>0</v>
      </c>
      <c r="J293" s="143">
        <f t="shared" si="15"/>
        <v>1.5151515151515152E-2</v>
      </c>
      <c r="K293" s="173"/>
      <c r="L293" s="173"/>
      <c r="M293" s="173"/>
      <c r="N293" s="173"/>
      <c r="O293" s="173"/>
      <c r="P293" s="173"/>
      <c r="Q293" s="22"/>
      <c r="R293" s="22"/>
      <c r="S293" s="66"/>
    </row>
    <row r="294" spans="2:19" x14ac:dyDescent="0.2">
      <c r="B294" s="232"/>
      <c r="C294" s="292" t="s">
        <v>1122</v>
      </c>
      <c r="D294" s="293"/>
      <c r="E294" s="98">
        <f>E288+E290+E292</f>
        <v>50</v>
      </c>
      <c r="F294" s="98">
        <f>F288+F290+F292</f>
        <v>44</v>
      </c>
      <c r="G294" s="98">
        <f>G288+G290+G292</f>
        <v>31</v>
      </c>
      <c r="H294" s="98">
        <f>H288+H290+H292</f>
        <v>31</v>
      </c>
      <c r="I294" s="98">
        <f t="shared" ref="I294" si="16">I288+I290+I292</f>
        <v>0</v>
      </c>
      <c r="J294" s="98">
        <f t="shared" si="15"/>
        <v>156</v>
      </c>
      <c r="K294" s="173"/>
      <c r="L294" s="173"/>
      <c r="M294" s="173"/>
      <c r="N294" s="173"/>
      <c r="O294" s="173"/>
      <c r="P294" s="173"/>
      <c r="Q294" s="22"/>
      <c r="R294" s="22"/>
      <c r="S294" s="66"/>
    </row>
    <row r="295" spans="2:19" x14ac:dyDescent="0.2">
      <c r="B295" s="232"/>
      <c r="C295" s="292"/>
      <c r="D295" s="293"/>
      <c r="E295" s="102">
        <f>E294/$J$294</f>
        <v>0.32051282051282054</v>
      </c>
      <c r="F295" s="102">
        <f t="shared" ref="F295:I295" si="17">F294/$J$294</f>
        <v>0.28205128205128205</v>
      </c>
      <c r="G295" s="102">
        <f t="shared" si="17"/>
        <v>0.19871794871794871</v>
      </c>
      <c r="H295" s="102">
        <f t="shared" si="17"/>
        <v>0.19871794871794871</v>
      </c>
      <c r="I295" s="102">
        <f t="shared" si="17"/>
        <v>0</v>
      </c>
      <c r="J295" s="102">
        <f>SUM(E295:I295)</f>
        <v>1</v>
      </c>
      <c r="K295" s="173"/>
      <c r="L295" s="173"/>
      <c r="M295" s="173"/>
      <c r="N295" s="173"/>
      <c r="O295" s="173"/>
      <c r="P295" s="173"/>
      <c r="Q295" s="22"/>
      <c r="R295" s="22"/>
      <c r="S295" s="66"/>
    </row>
    <row r="296" spans="2:19" x14ac:dyDescent="0.2">
      <c r="B296" s="61"/>
      <c r="C296" s="173"/>
      <c r="D296" s="217"/>
      <c r="E296" s="217"/>
      <c r="F296" s="217"/>
      <c r="G296" s="217"/>
      <c r="H296" s="217"/>
      <c r="I296" s="217"/>
      <c r="J296" s="217"/>
      <c r="K296" s="173"/>
      <c r="L296" s="173"/>
      <c r="M296" s="173"/>
      <c r="N296" s="173"/>
      <c r="O296" s="173"/>
      <c r="P296" s="173"/>
      <c r="Q296" s="173"/>
      <c r="R296" s="22"/>
      <c r="S296" s="66"/>
    </row>
    <row r="297" spans="2:19" x14ac:dyDescent="0.2">
      <c r="B297" s="61"/>
      <c r="C297" s="173"/>
      <c r="D297" s="217"/>
      <c r="E297" s="217"/>
      <c r="F297" s="217"/>
      <c r="G297" s="217"/>
      <c r="H297" s="217"/>
      <c r="I297" s="217"/>
      <c r="J297" s="217"/>
      <c r="K297" s="173"/>
      <c r="L297" s="173"/>
      <c r="M297" s="173"/>
      <c r="N297" s="173"/>
      <c r="O297" s="173"/>
      <c r="P297" s="173"/>
      <c r="Q297" s="173"/>
      <c r="R297" s="22"/>
      <c r="S297" s="66"/>
    </row>
    <row r="298" spans="2:19" x14ac:dyDescent="0.2">
      <c r="B298" s="70"/>
      <c r="C298" s="10"/>
      <c r="D298" s="144"/>
      <c r="E298" s="144"/>
      <c r="F298" s="144"/>
      <c r="G298" s="144"/>
      <c r="H298" s="144"/>
      <c r="I298" s="144"/>
      <c r="J298" s="144"/>
      <c r="K298" s="10"/>
      <c r="L298" s="10"/>
      <c r="M298" s="10"/>
      <c r="N298" s="10"/>
      <c r="O298" s="10"/>
      <c r="P298" s="10"/>
      <c r="Q298" s="10"/>
      <c r="R298" s="65"/>
      <c r="S298" s="67"/>
    </row>
    <row r="299" spans="2:19" x14ac:dyDescent="0.2">
      <c r="B299" s="61"/>
      <c r="C299" s="173"/>
      <c r="D299" s="217"/>
      <c r="E299" s="217"/>
      <c r="F299" s="217"/>
      <c r="G299" s="217"/>
      <c r="H299" s="217"/>
      <c r="I299" s="217"/>
      <c r="J299" s="217"/>
      <c r="K299" s="173"/>
      <c r="L299" s="173"/>
      <c r="M299" s="173"/>
      <c r="N299" s="173"/>
      <c r="O299" s="173"/>
      <c r="P299" s="173"/>
      <c r="Q299" s="173"/>
      <c r="R299" s="22"/>
      <c r="S299" s="66"/>
    </row>
    <row r="300" spans="2:19" ht="20.25" x14ac:dyDescent="0.3">
      <c r="B300" s="61"/>
      <c r="C300" s="208" t="s">
        <v>1449</v>
      </c>
      <c r="D300" s="217"/>
      <c r="E300" s="217"/>
      <c r="F300" s="217"/>
      <c r="G300" s="217"/>
      <c r="H300" s="217"/>
      <c r="I300" s="217"/>
      <c r="J300" s="217"/>
      <c r="K300" s="173"/>
      <c r="L300" s="173"/>
      <c r="M300" s="173"/>
      <c r="N300" s="173"/>
      <c r="O300" s="173"/>
      <c r="P300" s="173"/>
      <c r="Q300" s="173"/>
      <c r="R300" s="22"/>
      <c r="S300" s="66"/>
    </row>
    <row r="301" spans="2:19" x14ac:dyDescent="0.2">
      <c r="B301" s="61"/>
      <c r="C301" s="173"/>
      <c r="D301" s="217"/>
      <c r="E301" s="217"/>
      <c r="F301" s="217"/>
      <c r="G301" s="217"/>
      <c r="H301" s="217"/>
      <c r="I301" s="217"/>
      <c r="J301" s="217"/>
      <c r="K301" s="173"/>
      <c r="L301" s="173"/>
      <c r="M301" s="173"/>
      <c r="N301" s="173"/>
      <c r="O301" s="173"/>
      <c r="P301" s="173"/>
      <c r="Q301" s="173"/>
      <c r="R301" s="22"/>
      <c r="S301" s="66"/>
    </row>
    <row r="302" spans="2:19" x14ac:dyDescent="0.2">
      <c r="B302" s="61"/>
      <c r="C302" s="172" t="s">
        <v>1594</v>
      </c>
      <c r="D302" s="172" t="s">
        <v>1592</v>
      </c>
      <c r="E302" s="219"/>
      <c r="F302" s="219"/>
      <c r="G302" s="219"/>
      <c r="H302" s="219"/>
      <c r="I302" s="219"/>
      <c r="J302" s="219"/>
      <c r="K302" s="173"/>
      <c r="L302" s="173"/>
      <c r="M302" s="173"/>
      <c r="N302" s="173"/>
      <c r="O302" s="173"/>
      <c r="P302" s="173"/>
      <c r="Q302" s="173"/>
      <c r="R302" s="22"/>
      <c r="S302" s="66"/>
    </row>
    <row r="303" spans="2:19" ht="12.75" customHeight="1" x14ac:dyDescent="0.2">
      <c r="B303" s="232"/>
      <c r="C303" s="294"/>
      <c r="D303" s="295"/>
      <c r="E303" s="295"/>
      <c r="F303" s="296" t="s">
        <v>1593</v>
      </c>
      <c r="G303" s="296"/>
      <c r="H303" s="296"/>
      <c r="I303" s="296"/>
      <c r="J303" s="296"/>
      <c r="K303" s="296"/>
      <c r="L303" s="296"/>
      <c r="M303" s="296"/>
      <c r="N303" s="170" t="s">
        <v>1451</v>
      </c>
      <c r="O303" s="173"/>
      <c r="P303" s="173"/>
      <c r="Q303" s="22"/>
      <c r="R303" s="22"/>
      <c r="S303" s="66"/>
    </row>
    <row r="304" spans="2:19" ht="48.75" x14ac:dyDescent="0.2">
      <c r="B304" s="232"/>
      <c r="C304" s="294"/>
      <c r="D304" s="295"/>
      <c r="E304" s="295"/>
      <c r="F304" s="106" t="s">
        <v>1452</v>
      </c>
      <c r="G304" s="106" t="s">
        <v>1159</v>
      </c>
      <c r="H304" s="106" t="s">
        <v>1453</v>
      </c>
      <c r="I304" s="106" t="s">
        <v>1454</v>
      </c>
      <c r="J304" s="106" t="s">
        <v>1455</v>
      </c>
      <c r="K304" s="106" t="s">
        <v>1456</v>
      </c>
      <c r="L304" s="107" t="s">
        <v>1457</v>
      </c>
      <c r="M304" s="108" t="s">
        <v>1122</v>
      </c>
      <c r="N304" s="107" t="s">
        <v>1457</v>
      </c>
      <c r="O304" s="173"/>
      <c r="P304" s="173"/>
      <c r="Q304" s="22"/>
      <c r="R304" s="22"/>
      <c r="S304" s="66"/>
    </row>
    <row r="305" spans="2:19" x14ac:dyDescent="0.2">
      <c r="B305" s="232"/>
      <c r="C305" s="284" t="s">
        <v>1414</v>
      </c>
      <c r="D305" s="285"/>
      <c r="E305" s="285"/>
      <c r="F305" s="157">
        <f>GETPIVOTDATA("Net Dwellings",Pivot!$B$363,"Ward",C305)</f>
        <v>2</v>
      </c>
      <c r="G305" s="157">
        <f>GETPIVOTDATA("Net Dwellings",Pivot!$E$363,"Ward",C305)</f>
        <v>4</v>
      </c>
      <c r="H305" s="157">
        <v>0</v>
      </c>
      <c r="I305" s="157">
        <f>GETPIVOTDATA("Net Dwellings",Pivot!$B$395,"Ward",C305)</f>
        <v>-1</v>
      </c>
      <c r="J305" s="157">
        <v>0</v>
      </c>
      <c r="K305" s="157">
        <f>GETPIVOTDATA("Net Dwellings",Pivot!$H$395,"Ward",C305)</f>
        <v>2</v>
      </c>
      <c r="L305" s="157">
        <v>0</v>
      </c>
      <c r="M305" s="158">
        <f>SUM(F305:L305)</f>
        <v>7</v>
      </c>
      <c r="N305" s="157">
        <v>0</v>
      </c>
      <c r="O305" s="173"/>
      <c r="P305" s="173"/>
      <c r="Q305" s="22"/>
      <c r="R305" s="22"/>
      <c r="S305" s="66"/>
    </row>
    <row r="306" spans="2:19" x14ac:dyDescent="0.2">
      <c r="B306" s="232"/>
      <c r="C306" s="284" t="s">
        <v>1402</v>
      </c>
      <c r="D306" s="285"/>
      <c r="E306" s="285"/>
      <c r="F306" s="157">
        <f>GETPIVOTDATA("Net Dwellings",Pivot!$B$363,"Ward",C306)</f>
        <v>2</v>
      </c>
      <c r="G306" s="157">
        <f>GETPIVOTDATA("Net Dwellings",Pivot!$E$363,"Ward",C306)</f>
        <v>2</v>
      </c>
      <c r="H306" s="157">
        <f>GETPIVOTDATA("Net Dwellings",Pivot!$H$363,"Ward",C306)</f>
        <v>4</v>
      </c>
      <c r="I306" s="157">
        <f>GETPIVOTDATA("Net Dwellings",Pivot!$B$395,"Ward",C306)</f>
        <v>0</v>
      </c>
      <c r="J306" s="157">
        <f>GETPIVOTDATA("Net Dwellings",Pivot!$E$395,"Ward",C306)</f>
        <v>1</v>
      </c>
      <c r="K306" s="157">
        <f>GETPIVOTDATA("Net Dwellings",Pivot!$H$395,"Ward",C306)</f>
        <v>22</v>
      </c>
      <c r="L306" s="157">
        <v>0</v>
      </c>
      <c r="M306" s="158">
        <f t="shared" ref="M306:M321" si="18">SUM(F306:L306)</f>
        <v>31</v>
      </c>
      <c r="N306" s="157">
        <v>0</v>
      </c>
      <c r="O306" s="173"/>
      <c r="P306" s="173"/>
      <c r="Q306" s="22"/>
      <c r="R306" s="22"/>
      <c r="S306" s="66"/>
    </row>
    <row r="307" spans="2:19" x14ac:dyDescent="0.2">
      <c r="B307" s="232"/>
      <c r="C307" s="284" t="s">
        <v>1458</v>
      </c>
      <c r="D307" s="285"/>
      <c r="E307" s="285"/>
      <c r="F307" s="157">
        <f>GETPIVOTDATA("Net Dwellings",Pivot!$B$363,"Ward",C307)</f>
        <v>6</v>
      </c>
      <c r="G307" s="157">
        <f>GETPIVOTDATA("Net Dwellings",Pivot!$E$363,"Ward",C307)</f>
        <v>41</v>
      </c>
      <c r="H307" s="157">
        <f>GETPIVOTDATA("Net Dwellings",Pivot!$H$363,"Ward",C307)</f>
        <v>3</v>
      </c>
      <c r="I307" s="157">
        <f>GETPIVOTDATA("Net Dwellings",Pivot!$B$395,"Ward",C307)</f>
        <v>15</v>
      </c>
      <c r="J307" s="157">
        <v>0</v>
      </c>
      <c r="K307" s="157">
        <f>GETPIVOTDATA("Net Dwellings",Pivot!$H$395,"Ward",C307)</f>
        <v>6</v>
      </c>
      <c r="L307" s="157">
        <f>GETPIVOTDATA("Sum of 5 year total",Pivot!$B$429,"Ward","Fulwell and Hampton Hill")</f>
        <v>20</v>
      </c>
      <c r="M307" s="158">
        <f t="shared" si="18"/>
        <v>91</v>
      </c>
      <c r="N307" s="157">
        <v>0</v>
      </c>
      <c r="O307" s="173"/>
      <c r="P307" s="173"/>
      <c r="Q307" s="22"/>
      <c r="R307" s="22"/>
      <c r="S307" s="66"/>
    </row>
    <row r="308" spans="2:19" ht="12.75" customHeight="1" x14ac:dyDescent="0.2">
      <c r="B308" s="232"/>
      <c r="C308" s="286" t="s">
        <v>1487</v>
      </c>
      <c r="D308" s="287"/>
      <c r="E308" s="287"/>
      <c r="F308" s="157">
        <f>GETPIVOTDATA("Net Dwellings",Pivot!$B$363,"Ward",C308)</f>
        <v>22</v>
      </c>
      <c r="G308" s="157">
        <f>GETPIVOTDATA("Net Dwellings",Pivot!$E$363,"Ward",C308)</f>
        <v>0</v>
      </c>
      <c r="H308" s="157">
        <f>GETPIVOTDATA("Net Dwellings",Pivot!$H$363,"Ward",C308)</f>
        <v>-4</v>
      </c>
      <c r="I308" s="157">
        <f>GETPIVOTDATA("Net Dwellings",Pivot!$B$395,"Ward",C308)</f>
        <v>0</v>
      </c>
      <c r="J308" s="157">
        <v>0</v>
      </c>
      <c r="K308" s="157">
        <v>0</v>
      </c>
      <c r="L308" s="157">
        <v>0</v>
      </c>
      <c r="M308" s="158">
        <f t="shared" si="18"/>
        <v>18</v>
      </c>
      <c r="N308" s="157">
        <f>GETPIVOTDATA("Sum of 6-10 year total",Pivot!$B$445,"Ward","Ham, Petersham and Richmond Riverside")</f>
        <v>500</v>
      </c>
      <c r="O308" s="173"/>
      <c r="P308" s="173"/>
      <c r="Q308" s="22"/>
      <c r="R308" s="22"/>
      <c r="S308" s="66"/>
    </row>
    <row r="309" spans="2:19" x14ac:dyDescent="0.2">
      <c r="B309" s="232"/>
      <c r="C309" s="284" t="s">
        <v>1417</v>
      </c>
      <c r="D309" s="285"/>
      <c r="E309" s="285"/>
      <c r="F309" s="157">
        <f>GETPIVOTDATA("Net Dwellings",Pivot!$B$363,"Ward",C309)</f>
        <v>10</v>
      </c>
      <c r="G309" s="157">
        <f>GETPIVOTDATA("Net Dwellings",Pivot!$E$363,"Ward",C309)</f>
        <v>37</v>
      </c>
      <c r="H309" s="157">
        <f>GETPIVOTDATA("Net Dwellings",Pivot!$H$363,"Ward",C309)</f>
        <v>3</v>
      </c>
      <c r="I309" s="157">
        <f>GETPIVOTDATA("Net Dwellings",Pivot!$B$395,"Ward",C309)</f>
        <v>6</v>
      </c>
      <c r="J309" s="157">
        <v>0</v>
      </c>
      <c r="K309" s="157">
        <v>0</v>
      </c>
      <c r="L309" s="157">
        <v>0</v>
      </c>
      <c r="M309" s="158">
        <f t="shared" si="18"/>
        <v>56</v>
      </c>
      <c r="N309" s="157">
        <v>0</v>
      </c>
      <c r="O309" s="173"/>
      <c r="P309" s="173"/>
      <c r="Q309" s="22"/>
      <c r="R309" s="22"/>
      <c r="S309" s="66"/>
    </row>
    <row r="310" spans="2:19" x14ac:dyDescent="0.2">
      <c r="B310" s="232"/>
      <c r="C310" s="284" t="s">
        <v>1416</v>
      </c>
      <c r="D310" s="285"/>
      <c r="E310" s="285"/>
      <c r="F310" s="157">
        <f>GETPIVOTDATA("Net Dwellings",Pivot!$B$363,"Ward",C310)</f>
        <v>2</v>
      </c>
      <c r="G310" s="157">
        <f>GETPIVOTDATA("Net Dwellings",Pivot!$E$363,"Ward",C310)</f>
        <v>4</v>
      </c>
      <c r="H310" s="157">
        <v>0</v>
      </c>
      <c r="I310" s="157">
        <f>GETPIVOTDATA("Net Dwellings",Pivot!$B$395,"Ward",C310)</f>
        <v>1</v>
      </c>
      <c r="J310" s="157">
        <v>0</v>
      </c>
      <c r="K310" s="157">
        <v>0</v>
      </c>
      <c r="L310" s="157">
        <v>0</v>
      </c>
      <c r="M310" s="158">
        <f t="shared" si="18"/>
        <v>7</v>
      </c>
      <c r="N310" s="157">
        <v>0</v>
      </c>
      <c r="O310" s="173"/>
      <c r="P310" s="173"/>
      <c r="Q310" s="22"/>
      <c r="R310" s="22"/>
      <c r="S310" s="66"/>
    </row>
    <row r="311" spans="2:19" x14ac:dyDescent="0.2">
      <c r="B311" s="232"/>
      <c r="C311" s="284" t="s">
        <v>1418</v>
      </c>
      <c r="D311" s="285"/>
      <c r="E311" s="285"/>
      <c r="F311" s="157">
        <f>GETPIVOTDATA("Net Dwellings",Pivot!$B$363,"Ward",C311)</f>
        <v>42</v>
      </c>
      <c r="G311" s="157">
        <f>GETPIVOTDATA("Net Dwellings",Pivot!$E$363,"Ward",C311)</f>
        <v>19</v>
      </c>
      <c r="H311" s="157">
        <f>GETPIVOTDATA("Net Dwellings",Pivot!$H$363,"Ward",C311)</f>
        <v>7</v>
      </c>
      <c r="I311" s="157">
        <f>GETPIVOTDATA("Net Dwellings",Pivot!$B$395,"Ward",C311)</f>
        <v>3</v>
      </c>
      <c r="J311" s="157">
        <f>GETPIVOTDATA("Net Dwellings",Pivot!$E$395,"Ward",C311)</f>
        <v>8</v>
      </c>
      <c r="K311" s="157">
        <v>0</v>
      </c>
      <c r="L311" s="157">
        <v>0</v>
      </c>
      <c r="M311" s="158">
        <f t="shared" si="18"/>
        <v>79</v>
      </c>
      <c r="N311" s="157">
        <v>0</v>
      </c>
      <c r="O311" s="173"/>
      <c r="P311" s="173"/>
      <c r="Q311" s="22"/>
      <c r="R311" s="22"/>
      <c r="S311" s="66"/>
    </row>
    <row r="312" spans="2:19" x14ac:dyDescent="0.2">
      <c r="B312" s="232"/>
      <c r="C312" s="284" t="s">
        <v>1419</v>
      </c>
      <c r="D312" s="285"/>
      <c r="E312" s="285"/>
      <c r="F312" s="157">
        <f>GETPIVOTDATA("Net Dwellings",Pivot!$B$363,"Ward",C312)</f>
        <v>4</v>
      </c>
      <c r="G312" s="157">
        <f>GETPIVOTDATA("Net Dwellings",Pivot!$E$363,"Ward",C312)</f>
        <v>2</v>
      </c>
      <c r="H312" s="157">
        <v>0</v>
      </c>
      <c r="I312" s="157">
        <v>0</v>
      </c>
      <c r="J312" s="157">
        <v>0</v>
      </c>
      <c r="K312" s="157">
        <v>0</v>
      </c>
      <c r="L312" s="157">
        <v>0</v>
      </c>
      <c r="M312" s="158">
        <f t="shared" si="18"/>
        <v>6</v>
      </c>
      <c r="N312" s="157">
        <v>0</v>
      </c>
      <c r="O312" s="173"/>
      <c r="P312" s="173"/>
      <c r="Q312" s="22"/>
      <c r="R312" s="22"/>
      <c r="S312" s="66"/>
    </row>
    <row r="313" spans="2:19" x14ac:dyDescent="0.2">
      <c r="B313" s="232"/>
      <c r="C313" s="284" t="s">
        <v>1420</v>
      </c>
      <c r="D313" s="285"/>
      <c r="E313" s="285"/>
      <c r="F313" s="157">
        <f>GETPIVOTDATA("Net Dwellings",Pivot!$B$363,"Ward",C313)</f>
        <v>34</v>
      </c>
      <c r="G313" s="157">
        <f>GETPIVOTDATA("Net Dwellings",Pivot!$E$363,"Ward",C313)</f>
        <v>1</v>
      </c>
      <c r="H313" s="157">
        <f>GETPIVOTDATA("Net Dwellings",Pivot!$H$363,"Ward",C313)</f>
        <v>4</v>
      </c>
      <c r="I313" s="157">
        <f>GETPIVOTDATA("Net Dwellings",Pivot!$B$395,"Ward",C313)</f>
        <v>1</v>
      </c>
      <c r="J313" s="157">
        <f>GETPIVOTDATA("Net Dwellings",Pivot!$E$395,"Ward",C313)</f>
        <v>5</v>
      </c>
      <c r="K313" s="157">
        <f>GETPIVOTDATA("Net Dwellings",Pivot!$H$395,"Ward",C313)</f>
        <v>6</v>
      </c>
      <c r="L313" s="157">
        <f>GETPIVOTDATA("Sum of 5 year total",Pivot!$B$429,"Ward","Kew")</f>
        <v>90</v>
      </c>
      <c r="M313" s="158">
        <f t="shared" si="18"/>
        <v>141</v>
      </c>
      <c r="N313" s="157">
        <v>0</v>
      </c>
      <c r="O313" s="173"/>
      <c r="P313" s="173"/>
      <c r="Q313" s="22"/>
      <c r="R313" s="22"/>
      <c r="S313" s="66"/>
    </row>
    <row r="314" spans="2:19" x14ac:dyDescent="0.2">
      <c r="B314" s="232"/>
      <c r="C314" s="284" t="s">
        <v>1459</v>
      </c>
      <c r="D314" s="285"/>
      <c r="E314" s="285"/>
      <c r="F314" s="157">
        <f>GETPIVOTDATA("Net Dwellings",Pivot!$B$363,"Ward",C314)</f>
        <v>1</v>
      </c>
      <c r="G314" s="157">
        <f>GETPIVOTDATA("Net Dwellings",Pivot!$E$363,"Ward",C314)</f>
        <v>10</v>
      </c>
      <c r="H314" s="157">
        <f>GETPIVOTDATA("Net Dwellings",Pivot!$H$363,"Ward",C314)</f>
        <v>2</v>
      </c>
      <c r="I314" s="157">
        <v>0</v>
      </c>
      <c r="J314" s="157">
        <f>GETPIVOTDATA("Net Dwellings",Pivot!$E$395,"Ward",C314)</f>
        <v>2</v>
      </c>
      <c r="K314" s="157">
        <f>GETPIVOTDATA("Net Dwellings",Pivot!$H$395,"Ward",C314)</f>
        <v>1</v>
      </c>
      <c r="L314" s="157">
        <f>GETPIVOTDATA("Sum of 5 year total",Pivot!$B$429,"Ward","Mortlake and Barnes Common")</f>
        <v>383</v>
      </c>
      <c r="M314" s="158">
        <f t="shared" si="18"/>
        <v>399</v>
      </c>
      <c r="N314" s="157">
        <f>GETPIVOTDATA("Sum of 6-10 year total",Pivot!$B$445,"Ward","Mortlake and Barnes Common")</f>
        <v>400</v>
      </c>
      <c r="O314" s="173"/>
      <c r="P314" s="173"/>
      <c r="Q314" s="22"/>
      <c r="R314" s="22"/>
      <c r="S314" s="66"/>
    </row>
    <row r="315" spans="2:19" x14ac:dyDescent="0.2">
      <c r="B315" s="232"/>
      <c r="C315" s="284" t="s">
        <v>1422</v>
      </c>
      <c r="D315" s="285"/>
      <c r="E315" s="285"/>
      <c r="F315" s="157">
        <f>GETPIVOTDATA("Net Dwellings",Pivot!$B$363,"Ward",C315)</f>
        <v>2</v>
      </c>
      <c r="G315" s="157">
        <f>GETPIVOTDATA("Net Dwellings",Pivot!$E$363,"Ward",C315)</f>
        <v>7</v>
      </c>
      <c r="H315" s="157">
        <f>GETPIVOTDATA("Net Dwellings",Pivot!$H$363,"Ward",C315)</f>
        <v>-1</v>
      </c>
      <c r="I315" s="157">
        <f>GETPIVOTDATA("Net Dwellings",Pivot!$B$395,"Ward",C315)</f>
        <v>81</v>
      </c>
      <c r="J315" s="157">
        <f>GETPIVOTDATA("Net Dwellings",Pivot!$E$395,"Ward",C315)</f>
        <v>2</v>
      </c>
      <c r="K315" s="157">
        <v>0</v>
      </c>
      <c r="L315" s="157">
        <f>GETPIVOTDATA("Sum of 5 year total",Pivot!$B$429,"Ward","North Richmond")</f>
        <v>80</v>
      </c>
      <c r="M315" s="158">
        <f t="shared" si="18"/>
        <v>171</v>
      </c>
      <c r="N315" s="157">
        <v>0</v>
      </c>
      <c r="O315" s="173"/>
      <c r="P315" s="173"/>
      <c r="Q315" s="22"/>
      <c r="R315" s="22"/>
      <c r="S315" s="66"/>
    </row>
    <row r="316" spans="2:19" x14ac:dyDescent="0.2">
      <c r="B316" s="232"/>
      <c r="C316" s="284" t="s">
        <v>1423</v>
      </c>
      <c r="D316" s="285"/>
      <c r="E316" s="285"/>
      <c r="F316" s="157">
        <f>GETPIVOTDATA("Net Dwellings",Pivot!$B$363,"Ward",C316)</f>
        <v>17</v>
      </c>
      <c r="G316" s="157">
        <f>GETPIVOTDATA("Net Dwellings",Pivot!$E$363,"Ward",C316)</f>
        <v>4</v>
      </c>
      <c r="H316" s="157">
        <f>GETPIVOTDATA("Net Dwellings",Pivot!$H$363,"Ward",C316)</f>
        <v>9</v>
      </c>
      <c r="I316" s="157">
        <f>GETPIVOTDATA("Net Dwellings",Pivot!$B$395,"Ward",C316)</f>
        <v>3</v>
      </c>
      <c r="J316" s="157">
        <v>0</v>
      </c>
      <c r="K316" s="157">
        <v>0</v>
      </c>
      <c r="L316" s="157">
        <v>0</v>
      </c>
      <c r="M316" s="158">
        <f t="shared" si="18"/>
        <v>33</v>
      </c>
      <c r="N316" s="157">
        <v>0</v>
      </c>
      <c r="O316" s="173"/>
      <c r="P316" s="173"/>
      <c r="Q316" s="22"/>
      <c r="R316" s="22"/>
      <c r="S316" s="66"/>
    </row>
    <row r="317" spans="2:19" x14ac:dyDescent="0.2">
      <c r="B317" s="232"/>
      <c r="C317" s="284" t="s">
        <v>1424</v>
      </c>
      <c r="D317" s="285"/>
      <c r="E317" s="285"/>
      <c r="F317" s="157">
        <f>GETPIVOTDATA("Net Dwellings",Pivot!$B$363,"Ward",C317)</f>
        <v>9</v>
      </c>
      <c r="G317" s="157">
        <f>GETPIVOTDATA("Net Dwellings",Pivot!$E$363,"Ward",C317)</f>
        <v>10</v>
      </c>
      <c r="H317" s="157">
        <f>GETPIVOTDATA("Net Dwellings",Pivot!$H$363,"Ward",C317)</f>
        <v>3</v>
      </c>
      <c r="I317" s="157">
        <f>GETPIVOTDATA("Net Dwellings",Pivot!$B$395,"Ward",C317)</f>
        <v>3</v>
      </c>
      <c r="J317" s="157">
        <f>GETPIVOTDATA("Net Dwellings",Pivot!$E$395,"Ward",C317)</f>
        <v>10</v>
      </c>
      <c r="K317" s="157">
        <v>0</v>
      </c>
      <c r="L317" s="157">
        <v>0</v>
      </c>
      <c r="M317" s="158">
        <f t="shared" si="18"/>
        <v>35</v>
      </c>
      <c r="N317" s="157">
        <f>GETPIVOTDATA("Sum of 6-10 year total",Pivot!$B$445,"Ward","South Twickenham")</f>
        <v>40</v>
      </c>
      <c r="O317" s="173"/>
      <c r="P317" s="173"/>
      <c r="Q317" s="22"/>
      <c r="R317" s="22"/>
      <c r="S317" s="66"/>
    </row>
    <row r="318" spans="2:19" ht="12.75" customHeight="1" x14ac:dyDescent="0.2">
      <c r="B318" s="232"/>
      <c r="C318" s="286" t="s">
        <v>1488</v>
      </c>
      <c r="D318" s="287"/>
      <c r="E318" s="287"/>
      <c r="F318" s="157">
        <f>GETPIVOTDATA("Net Dwellings",Pivot!$B$363,"Ward",C318)</f>
        <v>281</v>
      </c>
      <c r="G318" s="157">
        <f>GETPIVOTDATA("Net Dwellings",Pivot!$E$363,"Ward",C318)</f>
        <v>4</v>
      </c>
      <c r="H318" s="157">
        <v>0</v>
      </c>
      <c r="I318" s="157">
        <v>0</v>
      </c>
      <c r="J318" s="157">
        <f>GETPIVOTDATA("Net Dwellings",Pivot!$E$395,"Ward",C318)</f>
        <v>6</v>
      </c>
      <c r="K318" s="157">
        <v>0</v>
      </c>
      <c r="L318" s="157">
        <v>0</v>
      </c>
      <c r="M318" s="158">
        <f t="shared" si="18"/>
        <v>291</v>
      </c>
      <c r="N318" s="157">
        <v>0</v>
      </c>
      <c r="O318" s="173"/>
      <c r="P318" s="173"/>
      <c r="Q318" s="22"/>
      <c r="R318" s="22"/>
      <c r="S318" s="66"/>
    </row>
    <row r="319" spans="2:19" x14ac:dyDescent="0.2">
      <c r="B319" s="232"/>
      <c r="C319" s="284" t="s">
        <v>1405</v>
      </c>
      <c r="D319" s="285"/>
      <c r="E319" s="285"/>
      <c r="F319" s="157">
        <f>GETPIVOTDATA("Net Dwellings",Pivot!$B$363,"Ward",C319)</f>
        <v>29</v>
      </c>
      <c r="G319" s="157">
        <f>GETPIVOTDATA("Net Dwellings",Pivot!$E$363,"Ward",C319)</f>
        <v>1</v>
      </c>
      <c r="H319" s="157">
        <f>GETPIVOTDATA("Net Dwellings",Pivot!$H$363,"Ward",C319)</f>
        <v>12</v>
      </c>
      <c r="I319" s="157">
        <f>GETPIVOTDATA("Net Dwellings",Pivot!$B$395,"Ward",C319)</f>
        <v>-1</v>
      </c>
      <c r="J319" s="157">
        <v>0</v>
      </c>
      <c r="K319" s="157">
        <f>GETPIVOTDATA("Net Dwellings",Pivot!$H$395,"Ward",C319)</f>
        <v>11</v>
      </c>
      <c r="L319" s="157">
        <v>0</v>
      </c>
      <c r="M319" s="158">
        <f t="shared" si="18"/>
        <v>52</v>
      </c>
      <c r="N319" s="157">
        <f>GETPIVOTDATA("Sum of 6-10 year total",Pivot!$B$445,"Ward","Teddington")</f>
        <v>20</v>
      </c>
      <c r="O319" s="173"/>
      <c r="P319" s="173"/>
      <c r="Q319" s="22"/>
      <c r="R319" s="22"/>
      <c r="S319" s="66"/>
    </row>
    <row r="320" spans="2:19" x14ac:dyDescent="0.2">
      <c r="B320" s="232"/>
      <c r="C320" s="284" t="s">
        <v>1426</v>
      </c>
      <c r="D320" s="285"/>
      <c r="E320" s="285"/>
      <c r="F320" s="157">
        <f>GETPIVOTDATA("Net Dwellings",Pivot!$B$363,"Ward",C320)</f>
        <v>1</v>
      </c>
      <c r="G320" s="157">
        <f>GETPIVOTDATA("Net Dwellings",Pivot!$E$363,"Ward",C320)</f>
        <v>7</v>
      </c>
      <c r="H320" s="157">
        <v>0</v>
      </c>
      <c r="I320" s="157">
        <f>GETPIVOTDATA("Net Dwellings",Pivot!$B$395,"Ward",C320)</f>
        <v>3</v>
      </c>
      <c r="J320" s="157">
        <f>GETPIVOTDATA("Net Dwellings",Pivot!$E$395,"Ward",C320)</f>
        <v>9</v>
      </c>
      <c r="K320" s="157">
        <f>GETPIVOTDATA("Net Dwellings",Pivot!$H$395,"Ward",C320)</f>
        <v>2</v>
      </c>
      <c r="L320" s="157">
        <f>GETPIVOTDATA("Sum of 5 year total",Pivot!$B$429,"Ward","Twickenham Riverside")</f>
        <v>46</v>
      </c>
      <c r="M320" s="158">
        <f t="shared" si="18"/>
        <v>68</v>
      </c>
      <c r="N320" s="157">
        <f>GETPIVOTDATA("Sum of 6-10 year total",Pivot!$B$445,"Ward","Twickenham Riverside")</f>
        <v>20</v>
      </c>
      <c r="O320" s="173"/>
      <c r="P320" s="173"/>
      <c r="Q320" s="22"/>
      <c r="R320" s="22"/>
      <c r="S320" s="66"/>
    </row>
    <row r="321" spans="2:19" x14ac:dyDescent="0.2">
      <c r="B321" s="232"/>
      <c r="C321" s="284" t="s">
        <v>1427</v>
      </c>
      <c r="D321" s="285"/>
      <c r="E321" s="285"/>
      <c r="F321" s="157">
        <f>GETPIVOTDATA("Net Dwellings",Pivot!$B$363,"Ward",C321)</f>
        <v>2</v>
      </c>
      <c r="G321" s="157">
        <f>GETPIVOTDATA("Net Dwellings",Pivot!$E$363,"Ward",C321)</f>
        <v>1</v>
      </c>
      <c r="H321" s="157">
        <f>GETPIVOTDATA("Net Dwellings",Pivot!$H$363,"Ward",C321)</f>
        <v>1</v>
      </c>
      <c r="I321" s="157">
        <f>GETPIVOTDATA("Net Dwellings",Pivot!$B$395,"Ward",C321)</f>
        <v>4</v>
      </c>
      <c r="J321" s="157">
        <f>GETPIVOTDATA("Net Dwellings",Pivot!$E$395,"Ward",C321)</f>
        <v>3</v>
      </c>
      <c r="K321" s="157">
        <v>0</v>
      </c>
      <c r="L321" s="157">
        <v>0</v>
      </c>
      <c r="M321" s="158">
        <f t="shared" si="18"/>
        <v>11</v>
      </c>
      <c r="N321" s="157">
        <v>0</v>
      </c>
      <c r="O321" s="173"/>
      <c r="P321" s="173"/>
      <c r="Q321" s="22"/>
      <c r="R321" s="22"/>
      <c r="S321" s="66"/>
    </row>
    <row r="322" spans="2:19" x14ac:dyDescent="0.2">
      <c r="B322" s="232"/>
      <c r="C322" s="284" t="s">
        <v>1428</v>
      </c>
      <c r="D322" s="285"/>
      <c r="E322" s="285"/>
      <c r="F322" s="157">
        <f>GETPIVOTDATA("Net Dwellings",Pivot!$B$363,"Ward",C322)</f>
        <v>-4</v>
      </c>
      <c r="G322" s="157">
        <f>GETPIVOTDATA("Net Dwellings",Pivot!$E$363,"Ward",C322)</f>
        <v>2</v>
      </c>
      <c r="H322" s="157">
        <v>0</v>
      </c>
      <c r="I322" s="157">
        <v>0</v>
      </c>
      <c r="J322" s="157">
        <f>GETPIVOTDATA("Net Dwellings",Pivot!$E$395,"Ward",C322)</f>
        <v>1</v>
      </c>
      <c r="K322" s="157">
        <v>0</v>
      </c>
      <c r="L322" s="157">
        <f>GETPIVOTDATA("Sum of 5 year total",Pivot!$B$429,"Ward","Whitton")</f>
        <v>20</v>
      </c>
      <c r="M322" s="158">
        <f>SUM(F322:L322)</f>
        <v>19</v>
      </c>
      <c r="N322" s="157">
        <f>GETPIVOTDATA("Sum of 6-10 year total",Pivot!$B$445,"Ward","Whitton")</f>
        <v>30</v>
      </c>
      <c r="O322" s="173"/>
      <c r="P322" s="173"/>
      <c r="Q322" s="22"/>
      <c r="R322" s="22"/>
      <c r="S322" s="66"/>
    </row>
    <row r="323" spans="2:19" x14ac:dyDescent="0.2">
      <c r="B323" s="232"/>
      <c r="C323" s="284" t="s">
        <v>1253</v>
      </c>
      <c r="D323" s="285"/>
      <c r="E323" s="285"/>
      <c r="F323" s="157">
        <v>0</v>
      </c>
      <c r="G323" s="157">
        <v>0</v>
      </c>
      <c r="H323" s="157">
        <v>0</v>
      </c>
      <c r="I323" s="157">
        <v>0</v>
      </c>
      <c r="J323" s="157">
        <v>0</v>
      </c>
      <c r="K323" s="157">
        <v>0</v>
      </c>
      <c r="L323" s="157">
        <v>742</v>
      </c>
      <c r="M323" s="158">
        <f>SUM(F323:L323)</f>
        <v>742</v>
      </c>
      <c r="N323" s="157">
        <f>GETPIVOTDATA("Sum of 6-10 year total",Pivot!$B$445,"Ward","N/A")</f>
        <v>1170</v>
      </c>
      <c r="O323" s="173"/>
      <c r="P323" s="173"/>
      <c r="Q323" s="22"/>
      <c r="R323" s="22"/>
      <c r="S323" s="66"/>
    </row>
    <row r="324" spans="2:19" x14ac:dyDescent="0.2">
      <c r="B324" s="232"/>
      <c r="C324" s="288" t="s">
        <v>1122</v>
      </c>
      <c r="D324" s="289"/>
      <c r="E324" s="289"/>
      <c r="F324" s="159">
        <f t="shared" ref="F324" si="19">SUM(F305:F323)</f>
        <v>462</v>
      </c>
      <c r="G324" s="159">
        <f t="shared" ref="G324" si="20">SUM(G305:G323)</f>
        <v>156</v>
      </c>
      <c r="H324" s="159">
        <f t="shared" ref="H324" si="21">SUM(H305:H323)</f>
        <v>43</v>
      </c>
      <c r="I324" s="159">
        <f t="shared" ref="I324" si="22">SUM(I305:I323)</f>
        <v>118</v>
      </c>
      <c r="J324" s="159">
        <f t="shared" ref="J324" si="23">SUM(J305:J323)</f>
        <v>47</v>
      </c>
      <c r="K324" s="159">
        <f t="shared" ref="K324" si="24">SUM(K305:K323)</f>
        <v>50</v>
      </c>
      <c r="L324" s="159">
        <f t="shared" ref="L324" si="25">SUM(L305:L323)</f>
        <v>1381</v>
      </c>
      <c r="M324" s="159">
        <f t="shared" ref="M324" si="26">SUM(M305:M323)</f>
        <v>2257</v>
      </c>
      <c r="N324" s="159">
        <f t="shared" ref="N324" si="27">SUM(N305:N323)</f>
        <v>2180</v>
      </c>
      <c r="O324" s="173"/>
      <c r="P324" s="173"/>
      <c r="Q324" s="22"/>
      <c r="R324" s="22"/>
      <c r="S324" s="66"/>
    </row>
    <row r="325" spans="2:19" x14ac:dyDescent="0.2">
      <c r="B325" s="61"/>
      <c r="C325" s="22"/>
      <c r="D325" s="22"/>
      <c r="E325" s="22"/>
      <c r="F325" s="22"/>
      <c r="G325" s="22"/>
      <c r="H325" s="22"/>
      <c r="I325" s="22"/>
      <c r="J325" s="22"/>
      <c r="K325" s="22"/>
      <c r="L325" s="22"/>
      <c r="M325" s="22"/>
      <c r="N325" s="173"/>
      <c r="O325" s="173"/>
      <c r="P325" s="173"/>
      <c r="Q325" s="173"/>
      <c r="R325" s="22"/>
      <c r="S325" s="66"/>
    </row>
    <row r="326" spans="2:19" x14ac:dyDescent="0.2">
      <c r="B326" s="70"/>
      <c r="C326" s="137"/>
      <c r="D326" s="137"/>
      <c r="E326" s="137"/>
      <c r="F326" s="137"/>
      <c r="G326" s="137"/>
      <c r="H326" s="137"/>
      <c r="I326" s="137"/>
      <c r="J326" s="137"/>
      <c r="K326" s="137"/>
      <c r="L326" s="137"/>
      <c r="M326" s="137"/>
      <c r="N326" s="137"/>
      <c r="O326" s="137"/>
      <c r="P326" s="137"/>
      <c r="Q326" s="137"/>
      <c r="R326" s="137"/>
      <c r="S326" s="77"/>
    </row>
    <row r="327" spans="2:19" x14ac:dyDescent="0.2">
      <c r="B327" s="22"/>
    </row>
    <row r="328" spans="2:19" x14ac:dyDescent="0.2">
      <c r="B328" s="22"/>
    </row>
    <row r="329" spans="2:19" x14ac:dyDescent="0.2">
      <c r="B329" s="22"/>
    </row>
    <row r="330" spans="2:19" x14ac:dyDescent="0.2">
      <c r="B330" s="22"/>
    </row>
    <row r="331" spans="2:19" ht="12.75" customHeight="1" x14ac:dyDescent="0.2">
      <c r="B331" s="22"/>
    </row>
    <row r="332" spans="2:19" x14ac:dyDescent="0.2">
      <c r="B332" s="22"/>
    </row>
    <row r="333" spans="2:19" x14ac:dyDescent="0.2">
      <c r="B333" s="22"/>
    </row>
    <row r="334" spans="2:19" x14ac:dyDescent="0.2">
      <c r="B334" s="22"/>
    </row>
    <row r="335" spans="2:19" x14ac:dyDescent="0.2">
      <c r="B335" s="22"/>
    </row>
    <row r="336" spans="2:19" x14ac:dyDescent="0.2">
      <c r="B336" s="22"/>
    </row>
    <row r="337" spans="2:2" x14ac:dyDescent="0.2">
      <c r="B337" s="22"/>
    </row>
    <row r="338" spans="2:2" x14ac:dyDescent="0.2">
      <c r="B338" s="22"/>
    </row>
    <row r="339" spans="2:2" x14ac:dyDescent="0.2">
      <c r="B339" s="22"/>
    </row>
    <row r="340" spans="2:2" x14ac:dyDescent="0.2">
      <c r="B340" s="22"/>
    </row>
    <row r="341" spans="2:2" x14ac:dyDescent="0.2">
      <c r="B341" s="22"/>
    </row>
    <row r="342" spans="2:2" x14ac:dyDescent="0.2">
      <c r="B342" s="22"/>
    </row>
    <row r="343" spans="2:2" x14ac:dyDescent="0.2">
      <c r="B343" s="22"/>
    </row>
    <row r="344" spans="2:2" x14ac:dyDescent="0.2">
      <c r="B344" s="22"/>
    </row>
    <row r="345" spans="2:2" x14ac:dyDescent="0.2">
      <c r="B345" s="22"/>
    </row>
    <row r="346" spans="2:2" x14ac:dyDescent="0.2">
      <c r="B346" s="22"/>
    </row>
    <row r="347" spans="2:2" x14ac:dyDescent="0.2">
      <c r="B347" s="22"/>
    </row>
    <row r="348" spans="2:2" x14ac:dyDescent="0.2">
      <c r="B348" s="22"/>
    </row>
    <row r="349" spans="2:2" x14ac:dyDescent="0.2">
      <c r="B349" s="22"/>
    </row>
    <row r="350" spans="2:2" x14ac:dyDescent="0.2">
      <c r="B350" s="22"/>
    </row>
    <row r="351" spans="2:2" x14ac:dyDescent="0.2">
      <c r="B351" s="22"/>
    </row>
    <row r="352" spans="2:2" x14ac:dyDescent="0.2">
      <c r="B352" s="22"/>
    </row>
    <row r="353" spans="2:2" x14ac:dyDescent="0.2">
      <c r="B353" s="22"/>
    </row>
    <row r="354" spans="2:2" x14ac:dyDescent="0.2">
      <c r="B354" s="22"/>
    </row>
    <row r="355" spans="2:2" x14ac:dyDescent="0.2">
      <c r="B355" s="22"/>
    </row>
    <row r="356" spans="2:2" x14ac:dyDescent="0.2">
      <c r="B356" s="22"/>
    </row>
    <row r="357" spans="2:2" x14ac:dyDescent="0.2">
      <c r="B357" s="22"/>
    </row>
    <row r="358" spans="2:2" x14ac:dyDescent="0.2">
      <c r="B358" s="22"/>
    </row>
    <row r="359" spans="2:2" x14ac:dyDescent="0.2">
      <c r="B359" s="22"/>
    </row>
  </sheetData>
  <mergeCells count="242">
    <mergeCell ref="B2:S3"/>
    <mergeCell ref="Y112:Z112"/>
    <mergeCell ref="AA112:AB112"/>
    <mergeCell ref="C102:C103"/>
    <mergeCell ref="D102:E102"/>
    <mergeCell ref="F102:G102"/>
    <mergeCell ref="H102:H103"/>
    <mergeCell ref="V112:V113"/>
    <mergeCell ref="W112:X112"/>
    <mergeCell ref="I49:J49"/>
    <mergeCell ref="C50:H50"/>
    <mergeCell ref="I50:J50"/>
    <mergeCell ref="D36:J36"/>
    <mergeCell ref="K36:L36"/>
    <mergeCell ref="D37:J37"/>
    <mergeCell ref="K37:L37"/>
    <mergeCell ref="D38:J38"/>
    <mergeCell ref="K38:L38"/>
    <mergeCell ref="D39:J39"/>
    <mergeCell ref="K39:L39"/>
    <mergeCell ref="D40:J40"/>
    <mergeCell ref="K40:L40"/>
    <mergeCell ref="C6:E7"/>
    <mergeCell ref="F6:F7"/>
    <mergeCell ref="C143:D143"/>
    <mergeCell ref="E143:F143"/>
    <mergeCell ref="G143:H143"/>
    <mergeCell ref="C141:D141"/>
    <mergeCell ref="E141:F141"/>
    <mergeCell ref="G141:H141"/>
    <mergeCell ref="C146:D146"/>
    <mergeCell ref="E146:F146"/>
    <mergeCell ref="G146:H146"/>
    <mergeCell ref="G144:H144"/>
    <mergeCell ref="C145:D145"/>
    <mergeCell ref="E145:F145"/>
    <mergeCell ref="G145:H145"/>
    <mergeCell ref="C147:D147"/>
    <mergeCell ref="E147:F147"/>
    <mergeCell ref="G147:H147"/>
    <mergeCell ref="I147:J147"/>
    <mergeCell ref="C144:D144"/>
    <mergeCell ref="E144:F144"/>
    <mergeCell ref="C66:E66"/>
    <mergeCell ref="D41:J41"/>
    <mergeCell ref="K41:L41"/>
    <mergeCell ref="C62:E62"/>
    <mergeCell ref="C63:E63"/>
    <mergeCell ref="C51:H51"/>
    <mergeCell ref="I51:J51"/>
    <mergeCell ref="C52:H52"/>
    <mergeCell ref="I52:J52"/>
    <mergeCell ref="C53:H53"/>
    <mergeCell ref="I53:J53"/>
    <mergeCell ref="C60:E61"/>
    <mergeCell ref="F60:G60"/>
    <mergeCell ref="H60:I60"/>
    <mergeCell ref="J60:K60"/>
    <mergeCell ref="C48:H48"/>
    <mergeCell ref="I48:J48"/>
    <mergeCell ref="C49:H49"/>
    <mergeCell ref="P6:P7"/>
    <mergeCell ref="Q6:Q7"/>
    <mergeCell ref="G6:O6"/>
    <mergeCell ref="M12:M13"/>
    <mergeCell ref="D24:J24"/>
    <mergeCell ref="K24:L24"/>
    <mergeCell ref="G12:K12"/>
    <mergeCell ref="C14:E14"/>
    <mergeCell ref="C17:M17"/>
    <mergeCell ref="D18:L18"/>
    <mergeCell ref="D19:L19"/>
    <mergeCell ref="D20:J20"/>
    <mergeCell ref="K20:L20"/>
    <mergeCell ref="D21:J21"/>
    <mergeCell ref="K21:L21"/>
    <mergeCell ref="D22:J22"/>
    <mergeCell ref="K22:L22"/>
    <mergeCell ref="D23:J23"/>
    <mergeCell ref="K23:L23"/>
    <mergeCell ref="C8:E8"/>
    <mergeCell ref="C12:E13"/>
    <mergeCell ref="F12:F13"/>
    <mergeCell ref="L12:L13"/>
    <mergeCell ref="D25:J25"/>
    <mergeCell ref="K25:L25"/>
    <mergeCell ref="D26:J26"/>
    <mergeCell ref="K26:L26"/>
    <mergeCell ref="D27:J27"/>
    <mergeCell ref="K27:L27"/>
    <mergeCell ref="C142:D142"/>
    <mergeCell ref="E142:F142"/>
    <mergeCell ref="G142:H142"/>
    <mergeCell ref="C64:E64"/>
    <mergeCell ref="C65:E65"/>
    <mergeCell ref="C46:H46"/>
    <mergeCell ref="I46:J46"/>
    <mergeCell ref="C47:H47"/>
    <mergeCell ref="I47:J47"/>
    <mergeCell ref="C31:M31"/>
    <mergeCell ref="D32:L32"/>
    <mergeCell ref="D33:L33"/>
    <mergeCell ref="D34:J34"/>
    <mergeCell ref="K34:L34"/>
    <mergeCell ref="D35:J35"/>
    <mergeCell ref="K35:L35"/>
    <mergeCell ref="C157:D157"/>
    <mergeCell ref="E157:F157"/>
    <mergeCell ref="G157:H157"/>
    <mergeCell ref="C158:D158"/>
    <mergeCell ref="E158:F158"/>
    <mergeCell ref="G158:H158"/>
    <mergeCell ref="C156:D156"/>
    <mergeCell ref="E156:F156"/>
    <mergeCell ref="G156:H156"/>
    <mergeCell ref="I158:J158"/>
    <mergeCell ref="I159:J159"/>
    <mergeCell ref="I160:J160"/>
    <mergeCell ref="C159:D159"/>
    <mergeCell ref="E159:F159"/>
    <mergeCell ref="G159:H159"/>
    <mergeCell ref="C160:D160"/>
    <mergeCell ref="E160:F160"/>
    <mergeCell ref="G160:H160"/>
    <mergeCell ref="C162:D162"/>
    <mergeCell ref="E162:F162"/>
    <mergeCell ref="G162:H162"/>
    <mergeCell ref="I162:J162"/>
    <mergeCell ref="K162:L162"/>
    <mergeCell ref="M162:N162"/>
    <mergeCell ref="K160:L160"/>
    <mergeCell ref="K161:L161"/>
    <mergeCell ref="M156:N156"/>
    <mergeCell ref="M157:N157"/>
    <mergeCell ref="M158:N158"/>
    <mergeCell ref="M159:N159"/>
    <mergeCell ref="M160:N160"/>
    <mergeCell ref="M161:N161"/>
    <mergeCell ref="K156:L156"/>
    <mergeCell ref="K157:L157"/>
    <mergeCell ref="K158:L158"/>
    <mergeCell ref="K159:L159"/>
    <mergeCell ref="C161:D161"/>
    <mergeCell ref="E161:F161"/>
    <mergeCell ref="G161:H161"/>
    <mergeCell ref="I161:J161"/>
    <mergeCell ref="I156:J156"/>
    <mergeCell ref="I157:J157"/>
    <mergeCell ref="C195:D195"/>
    <mergeCell ref="L195:M195"/>
    <mergeCell ref="C196:D196"/>
    <mergeCell ref="L196:M196"/>
    <mergeCell ref="C197:D197"/>
    <mergeCell ref="L197:M197"/>
    <mergeCell ref="C198:D198"/>
    <mergeCell ref="L198:M198"/>
    <mergeCell ref="C199:D199"/>
    <mergeCell ref="L199:M199"/>
    <mergeCell ref="C201:D201"/>
    <mergeCell ref="L200:M200"/>
    <mergeCell ref="L201:M201"/>
    <mergeCell ref="C206:E206"/>
    <mergeCell ref="C207:E207"/>
    <mergeCell ref="C208:E208"/>
    <mergeCell ref="C209:E209"/>
    <mergeCell ref="C210:E210"/>
    <mergeCell ref="C211:E211"/>
    <mergeCell ref="C200:D200"/>
    <mergeCell ref="L202:M202"/>
    <mergeCell ref="C212:E212"/>
    <mergeCell ref="C213:E213"/>
    <mergeCell ref="C214:E214"/>
    <mergeCell ref="C215:E215"/>
    <mergeCell ref="C216:E216"/>
    <mergeCell ref="C217:E217"/>
    <mergeCell ref="C218:E218"/>
    <mergeCell ref="C219:E219"/>
    <mergeCell ref="C220:E220"/>
    <mergeCell ref="C221:E221"/>
    <mergeCell ref="C222:E222"/>
    <mergeCell ref="C223:E223"/>
    <mergeCell ref="C224:E224"/>
    <mergeCell ref="C225:E225"/>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60:D260"/>
    <mergeCell ref="C261:D262"/>
    <mergeCell ref="C263:D264"/>
    <mergeCell ref="C265:D266"/>
    <mergeCell ref="C267:D268"/>
    <mergeCell ref="C272:D272"/>
    <mergeCell ref="C273:D274"/>
    <mergeCell ref="C275:D276"/>
    <mergeCell ref="C277:D278"/>
    <mergeCell ref="C281:D282"/>
    <mergeCell ref="C287:D287"/>
    <mergeCell ref="C279:D280"/>
    <mergeCell ref="C288:D289"/>
    <mergeCell ref="C290:D291"/>
    <mergeCell ref="C292:D293"/>
    <mergeCell ref="C294:D295"/>
    <mergeCell ref="C303:E303"/>
    <mergeCell ref="C304:E304"/>
    <mergeCell ref="C305:E305"/>
    <mergeCell ref="C306:E306"/>
    <mergeCell ref="F303:M303"/>
    <mergeCell ref="C316:E316"/>
    <mergeCell ref="C317:E317"/>
    <mergeCell ref="C318:E318"/>
    <mergeCell ref="C319:E319"/>
    <mergeCell ref="C320:E320"/>
    <mergeCell ref="C321:E321"/>
    <mergeCell ref="C322:E322"/>
    <mergeCell ref="C324:E324"/>
    <mergeCell ref="C307:E307"/>
    <mergeCell ref="C308:E308"/>
    <mergeCell ref="C309:E309"/>
    <mergeCell ref="C310:E310"/>
    <mergeCell ref="C311:E311"/>
    <mergeCell ref="C312:E312"/>
    <mergeCell ref="C313:E313"/>
    <mergeCell ref="C314:E314"/>
    <mergeCell ref="C315:E315"/>
    <mergeCell ref="C323:E323"/>
  </mergeCells>
  <printOptions horizontalCentered="1"/>
  <pageMargins left="0.23622047244094491" right="0.23622047244094491" top="0.39370078740157483" bottom="0.55118110236220474" header="0" footer="0"/>
  <pageSetup paperSize="9" scale="80" fitToHeight="0" orientation="landscape" verticalDpi="300" r:id="rId1"/>
  <headerFooter alignWithMargins="0">
    <oddHeader>&amp;L&amp;"Calibri"&amp;10&amp;K000000Official&amp;1#</oddHeader>
  </headerFooter>
  <rowBreaks count="8" manualBreakCount="8">
    <brk id="42" min="1" max="18" man="1"/>
    <brk id="72" min="1" max="18" man="1"/>
    <brk id="97" min="1" max="18" man="1"/>
    <brk id="138" min="1" max="18" man="1"/>
    <brk id="187" min="1" max="18" man="1"/>
    <brk id="228" min="1" max="18" man="1"/>
    <brk id="255" min="1" max="18" man="1"/>
    <brk id="298" min="1" max="18" man="1"/>
  </rowBreaks>
  <ignoredErrors>
    <ignoredError sqref="E119 G119 E267:I267 E265:G265 E277:I278 E275:H275 E279:I280 E281:I281 E292:H292 I294" formula="1"/>
    <ignoredError sqref="E80:E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1F75B-FE26-41E2-BA77-D0F22875B808}">
  <sheetPr>
    <pageSetUpPr fitToPage="1"/>
  </sheetPr>
  <dimension ref="A1:X17"/>
  <sheetViews>
    <sheetView zoomScaleNormal="100" zoomScaleSheetLayoutView="85" workbookViewId="0">
      <selection activeCell="B2" sqref="B2:X3"/>
    </sheetView>
  </sheetViews>
  <sheetFormatPr defaultRowHeight="12" x14ac:dyDescent="0.2"/>
  <cols>
    <col min="1" max="1" width="2.7109375" style="78" customWidth="1"/>
    <col min="2" max="2" width="12.28515625" style="78" bestFit="1" customWidth="1"/>
    <col min="3" max="3" width="50.140625" style="95" bestFit="1" customWidth="1"/>
    <col min="4" max="24" width="6.5703125" style="78" bestFit="1" customWidth="1"/>
    <col min="25" max="25" width="2.7109375" style="78" customWidth="1"/>
    <col min="26" max="16384" width="9.140625" style="78"/>
  </cols>
  <sheetData>
    <row r="1" spans="1:24" x14ac:dyDescent="0.2">
      <c r="B1" s="246"/>
    </row>
    <row r="2" spans="1:24" s="8" customFormat="1" ht="50.1" customHeight="1" x14ac:dyDescent="0.2">
      <c r="A2" s="22"/>
      <c r="B2" s="367" t="s">
        <v>1606</v>
      </c>
      <c r="C2" s="368"/>
      <c r="D2" s="368"/>
      <c r="E2" s="368"/>
      <c r="F2" s="368"/>
      <c r="G2" s="368"/>
      <c r="H2" s="368"/>
      <c r="I2" s="368"/>
      <c r="J2" s="368"/>
      <c r="K2" s="368"/>
      <c r="L2" s="368"/>
      <c r="M2" s="368"/>
      <c r="N2" s="368"/>
      <c r="O2" s="368"/>
      <c r="P2" s="368"/>
      <c r="Q2" s="368"/>
      <c r="R2" s="368"/>
      <c r="S2" s="368"/>
      <c r="T2" s="368"/>
      <c r="U2" s="368"/>
      <c r="V2" s="368"/>
      <c r="W2" s="368"/>
      <c r="X2" s="369"/>
    </row>
    <row r="3" spans="1:24" s="8" customFormat="1" ht="12.75" customHeight="1" x14ac:dyDescent="0.2">
      <c r="A3" s="22"/>
      <c r="B3" s="370"/>
      <c r="C3" s="371"/>
      <c r="D3" s="371"/>
      <c r="E3" s="371"/>
      <c r="F3" s="371"/>
      <c r="G3" s="371"/>
      <c r="H3" s="371"/>
      <c r="I3" s="371"/>
      <c r="J3" s="371"/>
      <c r="K3" s="371"/>
      <c r="L3" s="371"/>
      <c r="M3" s="371"/>
      <c r="N3" s="371"/>
      <c r="O3" s="371"/>
      <c r="P3" s="371"/>
      <c r="Q3" s="371"/>
      <c r="R3" s="371"/>
      <c r="S3" s="371"/>
      <c r="T3" s="371"/>
      <c r="U3" s="371"/>
      <c r="V3" s="371"/>
      <c r="W3" s="371"/>
      <c r="X3" s="372"/>
    </row>
    <row r="4" spans="1:24" x14ac:dyDescent="0.2">
      <c r="B4" s="247"/>
    </row>
    <row r="5" spans="1:24" ht="20.100000000000001" customHeight="1" x14ac:dyDescent="0.2">
      <c r="B5" s="385" t="s">
        <v>1460</v>
      </c>
      <c r="C5" s="386"/>
      <c r="D5" s="386"/>
      <c r="E5" s="386"/>
      <c r="F5" s="386"/>
      <c r="G5" s="386"/>
      <c r="H5" s="386"/>
      <c r="I5" s="386"/>
      <c r="J5" s="386"/>
      <c r="K5" s="386"/>
      <c r="L5" s="386"/>
      <c r="M5" s="386"/>
      <c r="N5" s="386"/>
      <c r="O5" s="386"/>
      <c r="P5" s="386"/>
      <c r="Q5" s="386"/>
      <c r="R5" s="386"/>
      <c r="S5" s="386"/>
      <c r="T5" s="386"/>
      <c r="U5" s="386"/>
      <c r="V5" s="386"/>
      <c r="W5" s="386"/>
      <c r="X5" s="387"/>
    </row>
    <row r="6" spans="1:24" ht="12.75" customHeight="1" x14ac:dyDescent="0.2">
      <c r="B6" s="388" t="s">
        <v>1461</v>
      </c>
      <c r="C6" s="389"/>
      <c r="D6" s="390" t="s">
        <v>1462</v>
      </c>
      <c r="E6" s="391"/>
      <c r="F6" s="391"/>
      <c r="G6" s="392"/>
      <c r="H6" s="393" t="s">
        <v>1463</v>
      </c>
      <c r="I6" s="394"/>
      <c r="J6" s="394"/>
      <c r="K6" s="394"/>
      <c r="L6" s="394"/>
      <c r="M6" s="394"/>
      <c r="N6" s="394"/>
      <c r="O6" s="394"/>
      <c r="P6" s="394"/>
      <c r="Q6" s="395"/>
      <c r="R6" s="396" t="s">
        <v>1464</v>
      </c>
      <c r="S6" s="396"/>
      <c r="T6" s="396"/>
      <c r="U6" s="396"/>
      <c r="V6" s="396"/>
      <c r="W6" s="396"/>
      <c r="X6" s="397"/>
    </row>
    <row r="7" spans="1:24" x14ac:dyDescent="0.2">
      <c r="B7" s="398" t="s">
        <v>1177</v>
      </c>
      <c r="C7" s="399"/>
      <c r="D7" s="79" t="s">
        <v>1124</v>
      </c>
      <c r="E7" s="80" t="s">
        <v>1125</v>
      </c>
      <c r="F7" s="80" t="s">
        <v>1126</v>
      </c>
      <c r="G7" s="81" t="s">
        <v>1127</v>
      </c>
      <c r="H7" s="79" t="s">
        <v>1128</v>
      </c>
      <c r="I7" s="80" t="s">
        <v>1129</v>
      </c>
      <c r="J7" s="80" t="s">
        <v>1130</v>
      </c>
      <c r="K7" s="80" t="s">
        <v>1131</v>
      </c>
      <c r="L7" s="80" t="s">
        <v>1237</v>
      </c>
      <c r="M7" s="80" t="s">
        <v>1465</v>
      </c>
      <c r="N7" s="80" t="s">
        <v>1466</v>
      </c>
      <c r="O7" s="80" t="s">
        <v>1467</v>
      </c>
      <c r="P7" s="80" t="s">
        <v>1468</v>
      </c>
      <c r="Q7" s="81" t="s">
        <v>1469</v>
      </c>
      <c r="R7" s="80" t="s">
        <v>1470</v>
      </c>
      <c r="S7" s="80" t="s">
        <v>1471</v>
      </c>
      <c r="T7" s="80" t="s">
        <v>1472</v>
      </c>
      <c r="U7" s="80" t="s">
        <v>1473</v>
      </c>
      <c r="V7" s="80" t="s">
        <v>1474</v>
      </c>
      <c r="W7" s="80" t="s">
        <v>1475</v>
      </c>
      <c r="X7" s="82" t="s">
        <v>1476</v>
      </c>
    </row>
    <row r="8" spans="1:24" ht="12" customHeight="1" x14ac:dyDescent="0.2">
      <c r="B8" s="379" t="s">
        <v>1477</v>
      </c>
      <c r="C8" s="380"/>
      <c r="D8" s="83">
        <v>10</v>
      </c>
      <c r="E8" s="84">
        <f>D8-1</f>
        <v>9</v>
      </c>
      <c r="F8" s="84">
        <f t="shared" ref="F8:G8" si="0">E8-1</f>
        <v>8</v>
      </c>
      <c r="G8" s="85">
        <f t="shared" si="0"/>
        <v>7</v>
      </c>
      <c r="H8" s="83">
        <v>10</v>
      </c>
      <c r="I8" s="84">
        <f>H8-1</f>
        <v>9</v>
      </c>
      <c r="J8" s="84">
        <f t="shared" ref="J8:Q8" si="1">I8-1</f>
        <v>8</v>
      </c>
      <c r="K8" s="84">
        <f t="shared" si="1"/>
        <v>7</v>
      </c>
      <c r="L8" s="84">
        <f t="shared" si="1"/>
        <v>6</v>
      </c>
      <c r="M8" s="84">
        <f t="shared" si="1"/>
        <v>5</v>
      </c>
      <c r="N8" s="84">
        <f t="shared" si="1"/>
        <v>4</v>
      </c>
      <c r="O8" s="84">
        <f t="shared" si="1"/>
        <v>3</v>
      </c>
      <c r="P8" s="84">
        <f t="shared" si="1"/>
        <v>2</v>
      </c>
      <c r="Q8" s="85">
        <f t="shared" si="1"/>
        <v>1</v>
      </c>
      <c r="R8" s="86"/>
      <c r="S8" s="86"/>
      <c r="T8" s="86"/>
      <c r="U8" s="86"/>
      <c r="V8" s="86"/>
      <c r="W8" s="86"/>
      <c r="X8" s="87"/>
    </row>
    <row r="9" spans="1:24" ht="23.1" customHeight="1" x14ac:dyDescent="0.2">
      <c r="B9" s="381" t="s">
        <v>1189</v>
      </c>
      <c r="C9" s="88" t="s">
        <v>1478</v>
      </c>
      <c r="D9" s="89">
        <v>208</v>
      </c>
      <c r="E9" s="89">
        <v>695</v>
      </c>
      <c r="F9" s="89">
        <v>235</v>
      </c>
      <c r="G9" s="89">
        <v>304</v>
      </c>
      <c r="H9" s="89">
        <v>491</v>
      </c>
      <c r="I9" s="89">
        <v>460</v>
      </c>
      <c r="J9" s="89">
        <v>382</v>
      </c>
      <c r="K9" s="89">
        <v>419</v>
      </c>
      <c r="L9" s="90">
        <f>GETPIVOTDATA("Net Dwellings",Pivot!$B$6)</f>
        <v>331</v>
      </c>
      <c r="M9" s="90"/>
      <c r="N9" s="90"/>
      <c r="O9" s="90"/>
      <c r="P9" s="91"/>
      <c r="Q9" s="91"/>
      <c r="R9" s="91"/>
      <c r="S9" s="91"/>
      <c r="T9" s="91"/>
      <c r="U9" s="91"/>
      <c r="V9" s="91"/>
      <c r="W9" s="91"/>
      <c r="X9" s="91"/>
    </row>
    <row r="10" spans="1:24" ht="23.1" customHeight="1" x14ac:dyDescent="0.2">
      <c r="B10" s="382"/>
      <c r="C10" s="88" t="s">
        <v>1479</v>
      </c>
      <c r="D10" s="90"/>
      <c r="E10" s="90"/>
      <c r="F10" s="90"/>
      <c r="G10" s="90"/>
      <c r="H10" s="109"/>
      <c r="I10" s="110"/>
      <c r="J10" s="89"/>
      <c r="K10" s="111"/>
      <c r="L10" s="112"/>
      <c r="M10" s="112">
        <f>GETPIVOTDATA("Sum of 2020/21 (1)",Pivot!$B$421)</f>
        <v>269.83333333333337</v>
      </c>
      <c r="N10" s="112">
        <f>GETPIVOTDATA("Sum of 2021/22 (2)",Pivot!$B$421)</f>
        <v>181.58333333333334</v>
      </c>
      <c r="O10" s="112">
        <f>GETPIVOTDATA("Sum of 2022/23 (3)",Pivot!$B$421)</f>
        <v>432.75</v>
      </c>
      <c r="P10" s="90">
        <f>GETPIVOTDATA("Sum of 2023/24 (4)",Pivot!$B$421)</f>
        <v>641.41666666666663</v>
      </c>
      <c r="Q10" s="90">
        <f>GETPIVOTDATA("Sum of 2024/25 (5)",Pivot!$B$421)</f>
        <v>692.41666666666663</v>
      </c>
      <c r="R10" s="113">
        <f>GETPIVOTDATA("Sum of 2025/26 (6)",Pivot!$B$421)</f>
        <v>451.6</v>
      </c>
      <c r="S10" s="113">
        <f>GETPIVOTDATA("Sum of 2026/27 (7)",Pivot!$B$421)</f>
        <v>456.6</v>
      </c>
      <c r="T10" s="113">
        <f>GETPIVOTDATA("Sum of 2027/28 (8)",Pivot!$B$421)</f>
        <v>436.6</v>
      </c>
      <c r="U10" s="113">
        <f>GETPIVOTDATA("Sum of 2028/29 (9)",Pivot!$B$421)</f>
        <v>436.6</v>
      </c>
      <c r="V10" s="113">
        <f>GETPIVOTDATA("Sum of 2029/30 (10)",Pivot!$B$421)</f>
        <v>436.6</v>
      </c>
      <c r="W10" s="113">
        <v>411</v>
      </c>
      <c r="X10" s="113">
        <v>411</v>
      </c>
    </row>
    <row r="11" spans="1:24" ht="23.1" customHeight="1" x14ac:dyDescent="0.2">
      <c r="B11" s="383"/>
      <c r="C11" s="88" t="s">
        <v>1480</v>
      </c>
      <c r="D11" s="91">
        <f>D9</f>
        <v>208</v>
      </c>
      <c r="E11" s="91">
        <f>D11+E9</f>
        <v>903</v>
      </c>
      <c r="F11" s="91">
        <f>E11+F9</f>
        <v>1138</v>
      </c>
      <c r="G11" s="91">
        <f>F11+G9</f>
        <v>1442</v>
      </c>
      <c r="H11" s="92">
        <f>H9</f>
        <v>491</v>
      </c>
      <c r="I11" s="92">
        <f>H11+I9</f>
        <v>951</v>
      </c>
      <c r="J11" s="92">
        <f>I11+J9</f>
        <v>1333</v>
      </c>
      <c r="K11" s="92">
        <f>J11+K9</f>
        <v>1752</v>
      </c>
      <c r="L11" s="92">
        <f>K11+L9</f>
        <v>2083</v>
      </c>
      <c r="M11" s="92">
        <f t="shared" ref="M11:X11" si="2">L11+M10</f>
        <v>2352.8333333333335</v>
      </c>
      <c r="N11" s="92">
        <f t="shared" si="2"/>
        <v>2534.416666666667</v>
      </c>
      <c r="O11" s="92">
        <f t="shared" si="2"/>
        <v>2967.166666666667</v>
      </c>
      <c r="P11" s="92">
        <f t="shared" si="2"/>
        <v>3608.5833333333335</v>
      </c>
      <c r="Q11" s="92">
        <f t="shared" si="2"/>
        <v>4301</v>
      </c>
      <c r="R11" s="92">
        <f t="shared" si="2"/>
        <v>4752.6000000000004</v>
      </c>
      <c r="S11" s="92">
        <f t="shared" si="2"/>
        <v>5209.2000000000007</v>
      </c>
      <c r="T11" s="92">
        <f t="shared" si="2"/>
        <v>5645.8000000000011</v>
      </c>
      <c r="U11" s="92">
        <f t="shared" si="2"/>
        <v>6082.4000000000015</v>
      </c>
      <c r="V11" s="92">
        <f t="shared" si="2"/>
        <v>6519.0000000000018</v>
      </c>
      <c r="W11" s="92">
        <f t="shared" si="2"/>
        <v>6930.0000000000018</v>
      </c>
      <c r="X11" s="92">
        <f t="shared" si="2"/>
        <v>7341.0000000000018</v>
      </c>
    </row>
    <row r="12" spans="1:24" ht="23.1" customHeight="1" x14ac:dyDescent="0.2">
      <c r="B12" s="381" t="s">
        <v>1481</v>
      </c>
      <c r="C12" s="93" t="s">
        <v>1482</v>
      </c>
      <c r="D12" s="92">
        <v>245</v>
      </c>
      <c r="E12" s="92">
        <v>245</v>
      </c>
      <c r="F12" s="92">
        <v>245</v>
      </c>
      <c r="G12" s="92">
        <v>245</v>
      </c>
      <c r="H12" s="92">
        <v>315</v>
      </c>
      <c r="I12" s="92">
        <v>315</v>
      </c>
      <c r="J12" s="92">
        <v>315</v>
      </c>
      <c r="K12" s="92">
        <v>315</v>
      </c>
      <c r="L12" s="92">
        <v>315</v>
      </c>
      <c r="M12" s="92">
        <v>315</v>
      </c>
      <c r="N12" s="92">
        <v>315</v>
      </c>
      <c r="O12" s="91">
        <v>315</v>
      </c>
      <c r="P12" s="91">
        <v>315</v>
      </c>
      <c r="Q12" s="91">
        <v>315</v>
      </c>
      <c r="R12" s="91">
        <v>315</v>
      </c>
      <c r="S12" s="91">
        <v>315</v>
      </c>
      <c r="T12" s="91">
        <v>315</v>
      </c>
      <c r="U12" s="91">
        <v>315</v>
      </c>
      <c r="V12" s="91">
        <v>315</v>
      </c>
      <c r="W12" s="91">
        <v>315</v>
      </c>
      <c r="X12" s="91">
        <v>315</v>
      </c>
    </row>
    <row r="13" spans="1:24" ht="23.1" customHeight="1" x14ac:dyDescent="0.2">
      <c r="B13" s="383"/>
      <c r="C13" s="93" t="s">
        <v>1483</v>
      </c>
      <c r="D13" s="91">
        <f>D12</f>
        <v>245</v>
      </c>
      <c r="E13" s="91">
        <f>D13+E12</f>
        <v>490</v>
      </c>
      <c r="F13" s="91">
        <f>E13+F12</f>
        <v>735</v>
      </c>
      <c r="G13" s="91">
        <f>F13+G12</f>
        <v>980</v>
      </c>
      <c r="H13" s="91">
        <f>H12</f>
        <v>315</v>
      </c>
      <c r="I13" s="91">
        <f t="shared" ref="I13:X13" si="3">H13+I12</f>
        <v>630</v>
      </c>
      <c r="J13" s="91">
        <f t="shared" si="3"/>
        <v>945</v>
      </c>
      <c r="K13" s="91">
        <f t="shared" si="3"/>
        <v>1260</v>
      </c>
      <c r="L13" s="91">
        <f t="shared" si="3"/>
        <v>1575</v>
      </c>
      <c r="M13" s="91">
        <f t="shared" si="3"/>
        <v>1890</v>
      </c>
      <c r="N13" s="91">
        <f t="shared" si="3"/>
        <v>2205</v>
      </c>
      <c r="O13" s="91">
        <f t="shared" si="3"/>
        <v>2520</v>
      </c>
      <c r="P13" s="91">
        <f t="shared" si="3"/>
        <v>2835</v>
      </c>
      <c r="Q13" s="91">
        <f t="shared" si="3"/>
        <v>3150</v>
      </c>
      <c r="R13" s="91">
        <f t="shared" si="3"/>
        <v>3465</v>
      </c>
      <c r="S13" s="91">
        <f t="shared" si="3"/>
        <v>3780</v>
      </c>
      <c r="T13" s="91">
        <f t="shared" si="3"/>
        <v>4095</v>
      </c>
      <c r="U13" s="91">
        <f t="shared" si="3"/>
        <v>4410</v>
      </c>
      <c r="V13" s="91">
        <f t="shared" si="3"/>
        <v>4725</v>
      </c>
      <c r="W13" s="91">
        <f t="shared" si="3"/>
        <v>5040</v>
      </c>
      <c r="X13" s="91">
        <f t="shared" si="3"/>
        <v>5355</v>
      </c>
    </row>
    <row r="14" spans="1:24" ht="23.1" customHeight="1" x14ac:dyDescent="0.2">
      <c r="B14" s="381" t="s">
        <v>1484</v>
      </c>
      <c r="C14" s="93" t="s">
        <v>1485</v>
      </c>
      <c r="D14" s="91">
        <f t="shared" ref="D14:X14" si="4">D11-D13</f>
        <v>-37</v>
      </c>
      <c r="E14" s="91">
        <f t="shared" si="4"/>
        <v>413</v>
      </c>
      <c r="F14" s="91">
        <f t="shared" si="4"/>
        <v>403</v>
      </c>
      <c r="G14" s="91">
        <f t="shared" si="4"/>
        <v>462</v>
      </c>
      <c r="H14" s="91">
        <f t="shared" si="4"/>
        <v>176</v>
      </c>
      <c r="I14" s="91">
        <f t="shared" si="4"/>
        <v>321</v>
      </c>
      <c r="J14" s="91">
        <f t="shared" si="4"/>
        <v>388</v>
      </c>
      <c r="K14" s="91">
        <f t="shared" si="4"/>
        <v>492</v>
      </c>
      <c r="L14" s="91">
        <f t="shared" si="4"/>
        <v>508</v>
      </c>
      <c r="M14" s="91">
        <f t="shared" si="4"/>
        <v>462.83333333333348</v>
      </c>
      <c r="N14" s="91">
        <f t="shared" si="4"/>
        <v>329.41666666666697</v>
      </c>
      <c r="O14" s="91">
        <f t="shared" si="4"/>
        <v>447.16666666666697</v>
      </c>
      <c r="P14" s="91">
        <f t="shared" si="4"/>
        <v>773.58333333333348</v>
      </c>
      <c r="Q14" s="91">
        <f t="shared" si="4"/>
        <v>1151</v>
      </c>
      <c r="R14" s="91">
        <f t="shared" si="4"/>
        <v>1287.6000000000004</v>
      </c>
      <c r="S14" s="91">
        <f t="shared" si="4"/>
        <v>1429.2000000000007</v>
      </c>
      <c r="T14" s="91">
        <f t="shared" si="4"/>
        <v>1550.8000000000011</v>
      </c>
      <c r="U14" s="91">
        <f t="shared" si="4"/>
        <v>1672.4000000000015</v>
      </c>
      <c r="V14" s="91">
        <f t="shared" si="4"/>
        <v>1794.0000000000018</v>
      </c>
      <c r="W14" s="91">
        <f t="shared" si="4"/>
        <v>1890.0000000000018</v>
      </c>
      <c r="X14" s="91">
        <f t="shared" si="4"/>
        <v>1986.0000000000018</v>
      </c>
    </row>
    <row r="15" spans="1:24" ht="23.1" customHeight="1" x14ac:dyDescent="0.2">
      <c r="B15" s="384"/>
      <c r="C15" s="93" t="s">
        <v>1486</v>
      </c>
      <c r="D15" s="91">
        <f>D12</f>
        <v>245</v>
      </c>
      <c r="E15" s="91">
        <f>IF((E12*10-D11)/E8&gt;0,(E12*10-D11)/E8,0)</f>
        <v>249.11111111111111</v>
      </c>
      <c r="F15" s="91">
        <f>IF((F12*10-E11)/F8&gt;0,(F12*10-E11)/F8,0)</f>
        <v>193.375</v>
      </c>
      <c r="G15" s="91">
        <f>IF((G12*10-F11)/G8&gt;0,(G12*10-F11)/G8,0)</f>
        <v>187.42857142857142</v>
      </c>
      <c r="H15" s="91">
        <f>H12</f>
        <v>315</v>
      </c>
      <c r="I15" s="94">
        <f t="shared" ref="I15:N15" si="5">IF((I12*10-H11)/I8&gt;0,(I12*10-H11)/I8,0)</f>
        <v>295.44444444444446</v>
      </c>
      <c r="J15" s="94">
        <f t="shared" si="5"/>
        <v>274.875</v>
      </c>
      <c r="K15" s="94">
        <f t="shared" si="5"/>
        <v>259.57142857142856</v>
      </c>
      <c r="L15" s="94">
        <f t="shared" si="5"/>
        <v>233</v>
      </c>
      <c r="M15" s="94">
        <f t="shared" si="5"/>
        <v>213.4</v>
      </c>
      <c r="N15" s="94">
        <f t="shared" si="5"/>
        <v>199.29166666666663</v>
      </c>
      <c r="O15" s="94">
        <f>IF((O12*10-N11)/O8&gt;0,(O12*10-N11)/O8,0)</f>
        <v>205.19444444444434</v>
      </c>
      <c r="P15" s="94">
        <f t="shared" ref="P15:Q15" si="6">IF((P12*10-O11)/P8&gt;0,(P12*10-O11)/P8,0)</f>
        <v>91.416666666666515</v>
      </c>
      <c r="Q15" s="94">
        <f t="shared" si="6"/>
        <v>0</v>
      </c>
      <c r="R15" s="94"/>
      <c r="S15" s="94"/>
      <c r="T15" s="94"/>
      <c r="U15" s="94"/>
      <c r="V15" s="94"/>
      <c r="W15" s="94"/>
      <c r="X15" s="94"/>
    </row>
    <row r="16" spans="1:24" x14ac:dyDescent="0.2">
      <c r="B16" s="243"/>
      <c r="C16" s="244"/>
      <c r="D16" s="243"/>
      <c r="E16" s="243"/>
      <c r="F16" s="243"/>
      <c r="G16" s="243"/>
      <c r="H16" s="245">
        <f>H15</f>
        <v>315</v>
      </c>
      <c r="I16" s="245">
        <f t="shared" ref="I16:R16" si="7">I15</f>
        <v>295.44444444444446</v>
      </c>
      <c r="J16" s="245">
        <f t="shared" si="7"/>
        <v>274.875</v>
      </c>
      <c r="K16" s="245">
        <f t="shared" si="7"/>
        <v>259.57142857142856</v>
      </c>
      <c r="L16" s="245">
        <f t="shared" si="7"/>
        <v>233</v>
      </c>
      <c r="M16" s="245">
        <f t="shared" si="7"/>
        <v>213.4</v>
      </c>
      <c r="N16" s="245">
        <f t="shared" si="7"/>
        <v>199.29166666666663</v>
      </c>
      <c r="O16" s="245">
        <f t="shared" si="7"/>
        <v>205.19444444444434</v>
      </c>
      <c r="P16" s="245">
        <f t="shared" si="7"/>
        <v>91.416666666666515</v>
      </c>
      <c r="Q16" s="245">
        <f t="shared" si="7"/>
        <v>0</v>
      </c>
      <c r="R16" s="245">
        <f t="shared" si="7"/>
        <v>0</v>
      </c>
      <c r="S16" s="243"/>
      <c r="T16" s="243"/>
      <c r="U16" s="243"/>
      <c r="V16" s="243"/>
      <c r="W16" s="243"/>
      <c r="X16" s="243"/>
    </row>
    <row r="17" spans="2:24" x14ac:dyDescent="0.2">
      <c r="B17" s="243"/>
      <c r="C17" s="244"/>
      <c r="D17" s="243"/>
      <c r="E17" s="243"/>
      <c r="F17" s="243"/>
      <c r="G17" s="243"/>
      <c r="H17" s="243">
        <v>315</v>
      </c>
      <c r="I17" s="243">
        <v>315</v>
      </c>
      <c r="J17" s="243">
        <v>315</v>
      </c>
      <c r="K17" s="243">
        <v>315</v>
      </c>
      <c r="L17" s="243">
        <v>315</v>
      </c>
      <c r="M17" s="243">
        <v>315</v>
      </c>
      <c r="N17" s="243">
        <v>315</v>
      </c>
      <c r="O17" s="243">
        <v>315</v>
      </c>
      <c r="P17" s="243">
        <v>315</v>
      </c>
      <c r="Q17" s="243">
        <v>315</v>
      </c>
      <c r="R17" s="243">
        <v>315</v>
      </c>
      <c r="S17" s="243">
        <v>315</v>
      </c>
      <c r="T17" s="243">
        <v>315</v>
      </c>
      <c r="U17" s="243">
        <v>315</v>
      </c>
      <c r="V17" s="243">
        <v>315</v>
      </c>
      <c r="W17" s="243">
        <v>315</v>
      </c>
      <c r="X17" s="243">
        <v>315</v>
      </c>
    </row>
  </sheetData>
  <mergeCells count="11">
    <mergeCell ref="B2:X3"/>
    <mergeCell ref="B8:C8"/>
    <mergeCell ref="B9:B11"/>
    <mergeCell ref="B12:B13"/>
    <mergeCell ref="B14:B15"/>
    <mergeCell ref="B5:X5"/>
    <mergeCell ref="B6:C6"/>
    <mergeCell ref="D6:G6"/>
    <mergeCell ref="H6:Q6"/>
    <mergeCell ref="R6:X6"/>
    <mergeCell ref="B7:C7"/>
  </mergeCells>
  <pageMargins left="0.39370078740157483" right="0.39370078740157483" top="0.39370078740157483" bottom="0.39370078740157483" header="0.19685039370078741" footer="0.19685039370078741"/>
  <pageSetup paperSize="8" scale="98" orientation="landscape" verticalDpi="1200" r:id="rId1"/>
  <headerFooter alignWithMargins="0">
    <oddHeader>&amp;L&amp;"Calibri"&amp;10&amp;K000000Official&amp;1#</oddHeader>
  </headerFooter>
  <ignoredErrors>
    <ignoredError sqref="H11 H13 H1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1"/>
  <sheetViews>
    <sheetView zoomScaleNormal="100" workbookViewId="0">
      <pane ySplit="1" topLeftCell="A2" activePane="bottomLeft" state="frozen"/>
      <selection pane="bottomLeft" activeCell="A2" sqref="A2"/>
    </sheetView>
  </sheetViews>
  <sheetFormatPr defaultRowHeight="15" x14ac:dyDescent="0.25"/>
  <cols>
    <col min="1" max="1" width="16.5703125" bestFit="1" customWidth="1"/>
    <col min="2" max="2" width="15.28515625" style="3" customWidth="1"/>
    <col min="3" max="3" width="12.28515625" customWidth="1"/>
    <col min="4" max="5" width="13.7109375" style="30" customWidth="1"/>
    <col min="6" max="7" width="13.7109375" style="3" customWidth="1"/>
    <col min="8" max="8" width="21.28515625" customWidth="1"/>
    <col min="9" max="9" width="23.5703125" style="3" customWidth="1"/>
    <col min="10" max="10" width="8" style="3" hidden="1" customWidth="1"/>
    <col min="11" max="11" width="46.7109375" customWidth="1"/>
    <col min="12" max="12" width="33.140625" style="18" customWidth="1"/>
    <col min="13" max="13" width="9.7109375" customWidth="1"/>
    <col min="14" max="21" width="9.140625" customWidth="1"/>
    <col min="22" max="22" width="11.28515625" customWidth="1"/>
    <col min="23" max="23" width="10.5703125" customWidth="1"/>
    <col min="24" max="30" width="10.42578125" customWidth="1"/>
    <col min="31" max="31" width="13" customWidth="1"/>
    <col min="32" max="40" width="11.85546875" customWidth="1"/>
    <col min="41" max="41" width="13.42578125" customWidth="1"/>
    <col min="42" max="42" width="13.85546875" style="3" customWidth="1"/>
    <col min="43" max="43" width="7.85546875" style="3" customWidth="1"/>
    <col min="44" max="53" width="9.140625" style="20" customWidth="1"/>
    <col min="54" max="54" width="12.28515625" style="20" customWidth="1"/>
    <col min="55" max="56" width="9.140625" style="3" customWidth="1"/>
    <col min="57" max="58" width="28.140625" style="97" customWidth="1"/>
    <col min="59" max="59" width="15.140625" customWidth="1"/>
    <col min="60" max="60" width="19.140625" bestFit="1" customWidth="1"/>
    <col min="61" max="62" width="23.85546875" bestFit="1" customWidth="1"/>
    <col min="63" max="63" width="14" customWidth="1"/>
    <col min="64" max="64" width="21.85546875" bestFit="1" customWidth="1"/>
    <col min="65" max="66" width="29.85546875" customWidth="1"/>
  </cols>
  <sheetData>
    <row r="1" spans="1:66" s="1" customFormat="1" ht="39.950000000000003" customHeight="1" x14ac:dyDescent="0.25">
      <c r="A1" s="48" t="s">
        <v>1248</v>
      </c>
      <c r="B1" s="48" t="s">
        <v>1198</v>
      </c>
      <c r="C1" s="48" t="s">
        <v>1200</v>
      </c>
      <c r="D1" s="48" t="s">
        <v>1249</v>
      </c>
      <c r="E1" s="48" t="s">
        <v>1250</v>
      </c>
      <c r="F1" s="48" t="s">
        <v>1251</v>
      </c>
      <c r="G1" s="48" t="s">
        <v>1252</v>
      </c>
      <c r="H1" s="48" t="s">
        <v>1196</v>
      </c>
      <c r="I1" s="48" t="s">
        <v>1207</v>
      </c>
      <c r="J1" s="49" t="s">
        <v>1300</v>
      </c>
      <c r="K1" s="50" t="s">
        <v>0</v>
      </c>
      <c r="L1" s="51" t="s">
        <v>1</v>
      </c>
      <c r="M1" s="50" t="s">
        <v>2</v>
      </c>
      <c r="N1" s="50" t="s">
        <v>3</v>
      </c>
      <c r="O1" s="50" t="s">
        <v>4</v>
      </c>
      <c r="P1" s="50" t="s">
        <v>5</v>
      </c>
      <c r="Q1" s="50" t="s">
        <v>6</v>
      </c>
      <c r="R1" s="50" t="s">
        <v>7</v>
      </c>
      <c r="S1" s="50" t="s">
        <v>8</v>
      </c>
      <c r="T1" s="50" t="s">
        <v>9</v>
      </c>
      <c r="U1" s="50" t="s">
        <v>10</v>
      </c>
      <c r="V1" s="48" t="s">
        <v>1257</v>
      </c>
      <c r="W1" s="50" t="s">
        <v>11</v>
      </c>
      <c r="X1" s="50" t="s">
        <v>12</v>
      </c>
      <c r="Y1" s="50" t="s">
        <v>13</v>
      </c>
      <c r="Z1" s="50" t="s">
        <v>14</v>
      </c>
      <c r="AA1" s="50" t="s">
        <v>15</v>
      </c>
      <c r="AB1" s="50" t="s">
        <v>16</v>
      </c>
      <c r="AC1" s="50" t="s">
        <v>17</v>
      </c>
      <c r="AD1" s="50" t="s">
        <v>18</v>
      </c>
      <c r="AE1" s="50" t="s">
        <v>19</v>
      </c>
      <c r="AF1" s="48" t="s">
        <v>1258</v>
      </c>
      <c r="AG1" s="48" t="s">
        <v>1292</v>
      </c>
      <c r="AH1" s="48" t="s">
        <v>1293</v>
      </c>
      <c r="AI1" s="48" t="s">
        <v>1294</v>
      </c>
      <c r="AJ1" s="48" t="s">
        <v>1295</v>
      </c>
      <c r="AK1" s="48" t="s">
        <v>1296</v>
      </c>
      <c r="AL1" s="48" t="s">
        <v>1297</v>
      </c>
      <c r="AM1" s="42" t="s">
        <v>1298</v>
      </c>
      <c r="AN1" s="42" t="s">
        <v>1299</v>
      </c>
      <c r="AO1" s="52" t="s">
        <v>1259</v>
      </c>
      <c r="AP1" s="68" t="s">
        <v>1389</v>
      </c>
      <c r="AQ1" s="42" t="s">
        <v>1245</v>
      </c>
      <c r="AR1" s="53" t="s">
        <v>1322</v>
      </c>
      <c r="AS1" s="54" t="s">
        <v>1323</v>
      </c>
      <c r="AT1" s="49" t="s">
        <v>1324</v>
      </c>
      <c r="AU1" s="49" t="s">
        <v>1325</v>
      </c>
      <c r="AV1" s="55" t="s">
        <v>1326</v>
      </c>
      <c r="AW1" s="49" t="s">
        <v>1564</v>
      </c>
      <c r="AX1" s="49" t="s">
        <v>1565</v>
      </c>
      <c r="AY1" s="49" t="s">
        <v>1566</v>
      </c>
      <c r="AZ1" s="49" t="s">
        <v>1567</v>
      </c>
      <c r="BA1" s="55" t="s">
        <v>1568</v>
      </c>
      <c r="BB1" s="151" t="s">
        <v>1584</v>
      </c>
      <c r="BC1" s="25" t="s">
        <v>1316</v>
      </c>
      <c r="BD1" s="25" t="s">
        <v>1317</v>
      </c>
      <c r="BE1" s="1" t="s">
        <v>1318</v>
      </c>
      <c r="BF1" s="1" t="s">
        <v>1410</v>
      </c>
      <c r="BG1" s="1" t="s">
        <v>1546</v>
      </c>
      <c r="BH1" s="1" t="s">
        <v>1489</v>
      </c>
      <c r="BI1" s="1" t="s">
        <v>1490</v>
      </c>
      <c r="BJ1" s="1" t="s">
        <v>1550</v>
      </c>
      <c r="BK1" s="1" t="s">
        <v>1491</v>
      </c>
      <c r="BL1" s="1" t="s">
        <v>1492</v>
      </c>
      <c r="BM1" s="1" t="s">
        <v>1545</v>
      </c>
      <c r="BN1" s="1" t="s">
        <v>1549</v>
      </c>
    </row>
    <row r="2" spans="1:66" x14ac:dyDescent="0.25">
      <c r="A2" s="56" t="s">
        <v>24</v>
      </c>
      <c r="B2" s="19" t="s">
        <v>20</v>
      </c>
      <c r="C2" s="56"/>
      <c r="D2" s="34">
        <v>40344</v>
      </c>
      <c r="E2" s="34">
        <v>41440</v>
      </c>
      <c r="F2" s="34">
        <v>41440</v>
      </c>
      <c r="G2" s="37">
        <v>43741</v>
      </c>
      <c r="H2" s="103" t="s">
        <v>1099</v>
      </c>
      <c r="I2" s="19" t="s">
        <v>1173</v>
      </c>
      <c r="J2" s="19"/>
      <c r="K2" s="56" t="s">
        <v>25</v>
      </c>
      <c r="L2" s="57" t="s">
        <v>26</v>
      </c>
      <c r="M2" s="56"/>
      <c r="N2" s="56"/>
      <c r="O2" s="56"/>
      <c r="P2" s="56"/>
      <c r="Q2" s="56"/>
      <c r="R2" s="56"/>
      <c r="S2" s="56"/>
      <c r="T2" s="56"/>
      <c r="U2" s="56"/>
      <c r="V2" s="56">
        <f t="shared" ref="V2:V33" si="0">SUM(N2:U2)</f>
        <v>0</v>
      </c>
      <c r="W2" s="56"/>
      <c r="X2" s="56"/>
      <c r="Y2" s="56"/>
      <c r="Z2" s="56">
        <v>1</v>
      </c>
      <c r="AA2" s="56"/>
      <c r="AB2" s="56"/>
      <c r="AC2" s="56"/>
      <c r="AD2" s="56"/>
      <c r="AE2" s="56"/>
      <c r="AF2" s="56">
        <f t="shared" ref="AF2:AF65" si="1">SUM(X2:AD2)</f>
        <v>1</v>
      </c>
      <c r="AG2" s="56">
        <f t="shared" ref="AG2:AG65" si="2">X2-N2</f>
        <v>0</v>
      </c>
      <c r="AH2" s="56">
        <f t="shared" ref="AH2:AH65" si="3">Y2-O2</f>
        <v>0</v>
      </c>
      <c r="AI2" s="56">
        <f t="shared" ref="AI2:AI65" si="4">Z2-P2</f>
        <v>1</v>
      </c>
      <c r="AJ2" s="56">
        <f t="shared" ref="AJ2:AJ65" si="5">AA2-Q2</f>
        <v>0</v>
      </c>
      <c r="AK2" s="56">
        <f t="shared" ref="AK2:AK65" si="6">AB2-R2</f>
        <v>0</v>
      </c>
      <c r="AL2" s="56">
        <f t="shared" ref="AL2:AL65" si="7">AC2-S2</f>
        <v>0</v>
      </c>
      <c r="AM2" s="56">
        <f t="shared" ref="AM2:AM65" si="8">AD2-T2</f>
        <v>0</v>
      </c>
      <c r="AN2" s="56">
        <f t="shared" ref="AN2:AN65" si="9">0-U2</f>
        <v>0</v>
      </c>
      <c r="AO2" s="58">
        <f t="shared" ref="AO2:AO65" si="10">AF2-V2</f>
        <v>1</v>
      </c>
      <c r="AP2" s="69"/>
      <c r="AQ2" s="40">
        <f t="shared" ref="AQ2:AQ39" si="11">AO2</f>
        <v>1</v>
      </c>
      <c r="AR2" s="40">
        <v>0</v>
      </c>
      <c r="AS2" s="31">
        <v>0</v>
      </c>
      <c r="AT2" s="31">
        <v>0</v>
      </c>
      <c r="AU2" s="31">
        <v>0</v>
      </c>
      <c r="AV2" s="39">
        <v>0</v>
      </c>
      <c r="AW2" s="31"/>
      <c r="AX2" s="31"/>
      <c r="AY2" s="31"/>
      <c r="AZ2" s="31"/>
      <c r="BA2" s="39"/>
      <c r="BB2" s="152">
        <f t="shared" ref="BB2:BB65" si="12">SUM(AR2:BA2)</f>
        <v>0</v>
      </c>
      <c r="BC2" s="43">
        <v>515372</v>
      </c>
      <c r="BD2" s="43">
        <v>171266</v>
      </c>
      <c r="BE2" t="s">
        <v>1405</v>
      </c>
      <c r="BF2"/>
    </row>
    <row r="3" spans="1:66" x14ac:dyDescent="0.25">
      <c r="A3" s="56" t="s">
        <v>27</v>
      </c>
      <c r="B3" s="19" t="s">
        <v>20</v>
      </c>
      <c r="C3" s="56"/>
      <c r="D3" s="34">
        <v>40998</v>
      </c>
      <c r="E3" s="34">
        <v>42093</v>
      </c>
      <c r="F3" s="34">
        <v>42077</v>
      </c>
      <c r="G3" s="37">
        <v>43861</v>
      </c>
      <c r="H3" s="33" t="s">
        <v>1099</v>
      </c>
      <c r="I3" s="19" t="s">
        <v>1173</v>
      </c>
      <c r="J3" s="19"/>
      <c r="K3" s="56" t="s">
        <v>28</v>
      </c>
      <c r="L3" s="57" t="s">
        <v>29</v>
      </c>
      <c r="M3" s="56"/>
      <c r="N3" s="56"/>
      <c r="O3" s="56"/>
      <c r="P3" s="56"/>
      <c r="Q3" s="56"/>
      <c r="R3" s="56"/>
      <c r="S3" s="56"/>
      <c r="T3" s="56"/>
      <c r="U3" s="56"/>
      <c r="V3" s="56">
        <f t="shared" si="0"/>
        <v>0</v>
      </c>
      <c r="W3" s="56"/>
      <c r="X3" s="56">
        <v>6</v>
      </c>
      <c r="Y3" s="56">
        <v>7</v>
      </c>
      <c r="Z3" s="56">
        <v>1</v>
      </c>
      <c r="AA3" s="56"/>
      <c r="AB3" s="56"/>
      <c r="AC3" s="56"/>
      <c r="AD3" s="56"/>
      <c r="AE3" s="56"/>
      <c r="AF3" s="56">
        <f t="shared" si="1"/>
        <v>14</v>
      </c>
      <c r="AG3" s="56">
        <f t="shared" si="2"/>
        <v>6</v>
      </c>
      <c r="AH3" s="56">
        <f t="shared" si="3"/>
        <v>7</v>
      </c>
      <c r="AI3" s="56">
        <f t="shared" si="4"/>
        <v>1</v>
      </c>
      <c r="AJ3" s="56">
        <f t="shared" si="5"/>
        <v>0</v>
      </c>
      <c r="AK3" s="56">
        <f t="shared" si="6"/>
        <v>0</v>
      </c>
      <c r="AL3" s="56">
        <f t="shared" si="7"/>
        <v>0</v>
      </c>
      <c r="AM3" s="56">
        <f t="shared" si="8"/>
        <v>0</v>
      </c>
      <c r="AN3" s="56">
        <f t="shared" si="9"/>
        <v>0</v>
      </c>
      <c r="AO3" s="58">
        <f t="shared" si="10"/>
        <v>14</v>
      </c>
      <c r="AP3" s="69" t="s">
        <v>121</v>
      </c>
      <c r="AQ3" s="40">
        <f t="shared" si="11"/>
        <v>14</v>
      </c>
      <c r="AR3" s="40">
        <v>0</v>
      </c>
      <c r="AS3" s="31">
        <v>0</v>
      </c>
      <c r="AT3" s="31">
        <v>0</v>
      </c>
      <c r="AU3" s="31">
        <v>0</v>
      </c>
      <c r="AV3" s="39">
        <v>0</v>
      </c>
      <c r="AW3" s="31"/>
      <c r="AX3" s="31"/>
      <c r="AY3" s="31"/>
      <c r="AZ3" s="31"/>
      <c r="BA3" s="39"/>
      <c r="BB3" s="152">
        <f t="shared" si="12"/>
        <v>0</v>
      </c>
      <c r="BC3" s="43">
        <v>516095</v>
      </c>
      <c r="BD3" s="43">
        <v>173690</v>
      </c>
      <c r="BE3" t="s">
        <v>1488</v>
      </c>
      <c r="BF3"/>
      <c r="BG3" t="s">
        <v>1406</v>
      </c>
    </row>
    <row r="4" spans="1:66" x14ac:dyDescent="0.25">
      <c r="A4" s="56" t="s">
        <v>30</v>
      </c>
      <c r="B4" s="19" t="s">
        <v>31</v>
      </c>
      <c r="C4" s="56"/>
      <c r="D4" s="34">
        <v>41162</v>
      </c>
      <c r="E4" s="34">
        <v>42257</v>
      </c>
      <c r="F4" s="34">
        <v>42256</v>
      </c>
      <c r="G4" s="34">
        <v>43908</v>
      </c>
      <c r="H4" s="33" t="s">
        <v>1099</v>
      </c>
      <c r="I4" s="19" t="s">
        <v>1173</v>
      </c>
      <c r="J4" s="19"/>
      <c r="K4" s="56" t="s">
        <v>32</v>
      </c>
      <c r="L4" s="57" t="s">
        <v>33</v>
      </c>
      <c r="M4" s="56"/>
      <c r="N4" s="56">
        <v>1</v>
      </c>
      <c r="O4" s="56"/>
      <c r="P4" s="56"/>
      <c r="Q4" s="56"/>
      <c r="R4" s="56"/>
      <c r="S4" s="56"/>
      <c r="T4" s="56"/>
      <c r="U4" s="56"/>
      <c r="V4" s="56">
        <f t="shared" si="0"/>
        <v>1</v>
      </c>
      <c r="W4" s="56"/>
      <c r="X4" s="56"/>
      <c r="Y4" s="56">
        <v>1</v>
      </c>
      <c r="Z4" s="56"/>
      <c r="AA4" s="56"/>
      <c r="AB4" s="56"/>
      <c r="AC4" s="56"/>
      <c r="AD4" s="56"/>
      <c r="AE4" s="56"/>
      <c r="AF4" s="56">
        <f t="shared" si="1"/>
        <v>1</v>
      </c>
      <c r="AG4" s="56">
        <f t="shared" si="2"/>
        <v>-1</v>
      </c>
      <c r="AH4" s="56">
        <f t="shared" si="3"/>
        <v>1</v>
      </c>
      <c r="AI4" s="56">
        <f t="shared" si="4"/>
        <v>0</v>
      </c>
      <c r="AJ4" s="56">
        <f t="shared" si="5"/>
        <v>0</v>
      </c>
      <c r="AK4" s="56">
        <f t="shared" si="6"/>
        <v>0</v>
      </c>
      <c r="AL4" s="56">
        <f t="shared" si="7"/>
        <v>0</v>
      </c>
      <c r="AM4" s="56">
        <f t="shared" si="8"/>
        <v>0</v>
      </c>
      <c r="AN4" s="56">
        <f t="shared" si="9"/>
        <v>0</v>
      </c>
      <c r="AO4" s="58">
        <f t="shared" si="10"/>
        <v>0</v>
      </c>
      <c r="AP4" s="69"/>
      <c r="AQ4" s="40">
        <f t="shared" si="11"/>
        <v>0</v>
      </c>
      <c r="AR4" s="40">
        <v>0</v>
      </c>
      <c r="AS4" s="31">
        <v>0</v>
      </c>
      <c r="AT4" s="31">
        <v>0</v>
      </c>
      <c r="AU4" s="31">
        <v>0</v>
      </c>
      <c r="AV4" s="39">
        <v>0</v>
      </c>
      <c r="AW4" s="31"/>
      <c r="AX4" s="31"/>
      <c r="AY4" s="31"/>
      <c r="AZ4" s="31"/>
      <c r="BA4" s="39"/>
      <c r="BB4" s="152">
        <f t="shared" si="12"/>
        <v>0</v>
      </c>
      <c r="BC4" s="43">
        <v>514998</v>
      </c>
      <c r="BD4" s="43">
        <v>172958</v>
      </c>
      <c r="BE4" t="s">
        <v>1427</v>
      </c>
      <c r="BF4"/>
    </row>
    <row r="5" spans="1:66" s="150" customFormat="1" x14ac:dyDescent="0.25">
      <c r="A5" s="56" t="s">
        <v>37</v>
      </c>
      <c r="B5" s="19" t="s">
        <v>38</v>
      </c>
      <c r="C5" s="56"/>
      <c r="D5" s="34">
        <v>41572</v>
      </c>
      <c r="E5" s="34">
        <v>42671</v>
      </c>
      <c r="F5" s="34">
        <v>42614</v>
      </c>
      <c r="G5" s="34">
        <v>43691</v>
      </c>
      <c r="H5" s="59" t="s">
        <v>1099</v>
      </c>
      <c r="I5" s="19" t="s">
        <v>1173</v>
      </c>
      <c r="J5" s="19"/>
      <c r="K5" s="56" t="s">
        <v>39</v>
      </c>
      <c r="L5" s="57" t="s">
        <v>40</v>
      </c>
      <c r="M5" s="56" t="s">
        <v>41</v>
      </c>
      <c r="N5" s="56">
        <v>1</v>
      </c>
      <c r="O5" s="56"/>
      <c r="P5" s="56">
        <v>1</v>
      </c>
      <c r="Q5" s="56"/>
      <c r="R5" s="56"/>
      <c r="S5" s="56"/>
      <c r="T5" s="56"/>
      <c r="U5" s="56"/>
      <c r="V5" s="56">
        <f t="shared" si="0"/>
        <v>2</v>
      </c>
      <c r="W5" s="56"/>
      <c r="X5" s="56"/>
      <c r="Y5" s="56"/>
      <c r="Z5" s="56"/>
      <c r="AA5" s="56">
        <v>1</v>
      </c>
      <c r="AB5" s="56"/>
      <c r="AC5" s="56"/>
      <c r="AD5" s="56"/>
      <c r="AE5" s="56"/>
      <c r="AF5" s="56">
        <f t="shared" si="1"/>
        <v>1</v>
      </c>
      <c r="AG5" s="56">
        <f t="shared" si="2"/>
        <v>-1</v>
      </c>
      <c r="AH5" s="56">
        <f t="shared" si="3"/>
        <v>0</v>
      </c>
      <c r="AI5" s="56">
        <f t="shared" si="4"/>
        <v>-1</v>
      </c>
      <c r="AJ5" s="56">
        <f t="shared" si="5"/>
        <v>1</v>
      </c>
      <c r="AK5" s="56">
        <f t="shared" si="6"/>
        <v>0</v>
      </c>
      <c r="AL5" s="56">
        <f t="shared" si="7"/>
        <v>0</v>
      </c>
      <c r="AM5" s="56">
        <f t="shared" si="8"/>
        <v>0</v>
      </c>
      <c r="AN5" s="56">
        <f t="shared" si="9"/>
        <v>0</v>
      </c>
      <c r="AO5" s="58">
        <f t="shared" si="10"/>
        <v>-1</v>
      </c>
      <c r="AP5" s="69"/>
      <c r="AQ5" s="40">
        <f t="shared" si="11"/>
        <v>-1</v>
      </c>
      <c r="AR5" s="40">
        <v>0</v>
      </c>
      <c r="AS5" s="31">
        <v>0</v>
      </c>
      <c r="AT5" s="31">
        <v>0</v>
      </c>
      <c r="AU5" s="31">
        <v>0</v>
      </c>
      <c r="AV5" s="39">
        <v>0</v>
      </c>
      <c r="AW5" s="31"/>
      <c r="AX5" s="31"/>
      <c r="AY5" s="31"/>
      <c r="AZ5" s="31"/>
      <c r="BA5" s="39"/>
      <c r="BB5" s="152">
        <f t="shared" si="12"/>
        <v>0</v>
      </c>
      <c r="BC5" s="43">
        <v>517063</v>
      </c>
      <c r="BD5" s="43">
        <v>170403</v>
      </c>
      <c r="BE5" t="s">
        <v>1418</v>
      </c>
      <c r="BF5"/>
      <c r="BG5"/>
      <c r="BH5"/>
      <c r="BI5"/>
      <c r="BJ5"/>
      <c r="BK5"/>
      <c r="BL5"/>
      <c r="BM5"/>
      <c r="BN5"/>
    </row>
    <row r="6" spans="1:66" x14ac:dyDescent="0.25">
      <c r="A6" s="56" t="s">
        <v>61</v>
      </c>
      <c r="B6" s="19" t="s">
        <v>20</v>
      </c>
      <c r="C6" s="56"/>
      <c r="D6" s="34">
        <v>42139</v>
      </c>
      <c r="E6" s="34">
        <v>43542</v>
      </c>
      <c r="F6" s="34">
        <v>42839</v>
      </c>
      <c r="G6" s="34">
        <v>43921</v>
      </c>
      <c r="H6" s="33" t="s">
        <v>1099</v>
      </c>
      <c r="I6" s="19" t="s">
        <v>1173</v>
      </c>
      <c r="J6" s="19"/>
      <c r="K6" s="56" t="s">
        <v>62</v>
      </c>
      <c r="L6" s="57" t="s">
        <v>63</v>
      </c>
      <c r="M6" s="56"/>
      <c r="N6" s="56"/>
      <c r="O6" s="56"/>
      <c r="P6" s="56"/>
      <c r="Q6" s="56"/>
      <c r="R6" s="56"/>
      <c r="S6" s="56"/>
      <c r="T6" s="56"/>
      <c r="U6" s="56"/>
      <c r="V6" s="56">
        <f t="shared" si="0"/>
        <v>0</v>
      </c>
      <c r="W6" s="56"/>
      <c r="X6" s="56"/>
      <c r="Y6" s="56"/>
      <c r="Z6" s="56"/>
      <c r="AA6" s="56">
        <v>4</v>
      </c>
      <c r="AB6" s="56"/>
      <c r="AC6" s="56"/>
      <c r="AD6" s="56"/>
      <c r="AE6" s="56"/>
      <c r="AF6" s="56">
        <f t="shared" si="1"/>
        <v>4</v>
      </c>
      <c r="AG6" s="56">
        <f t="shared" si="2"/>
        <v>0</v>
      </c>
      <c r="AH6" s="56">
        <f t="shared" si="3"/>
        <v>0</v>
      </c>
      <c r="AI6" s="56">
        <f t="shared" si="4"/>
        <v>0</v>
      </c>
      <c r="AJ6" s="56">
        <f t="shared" si="5"/>
        <v>4</v>
      </c>
      <c r="AK6" s="56">
        <f t="shared" si="6"/>
        <v>0</v>
      </c>
      <c r="AL6" s="56">
        <f t="shared" si="7"/>
        <v>0</v>
      </c>
      <c r="AM6" s="56">
        <f t="shared" si="8"/>
        <v>0</v>
      </c>
      <c r="AN6" s="56">
        <f t="shared" si="9"/>
        <v>0</v>
      </c>
      <c r="AO6" s="58">
        <f t="shared" si="10"/>
        <v>4</v>
      </c>
      <c r="AP6" s="69"/>
      <c r="AQ6" s="40">
        <f t="shared" si="11"/>
        <v>4</v>
      </c>
      <c r="AR6" s="40">
        <v>0</v>
      </c>
      <c r="AS6" s="31">
        <v>0</v>
      </c>
      <c r="AT6" s="31">
        <v>0</v>
      </c>
      <c r="AU6" s="31">
        <v>0</v>
      </c>
      <c r="AV6" s="39">
        <v>0</v>
      </c>
      <c r="AW6" s="31"/>
      <c r="AX6" s="31"/>
      <c r="AY6" s="31"/>
      <c r="AZ6" s="31"/>
      <c r="BA6" s="39"/>
      <c r="BB6" s="152">
        <f t="shared" si="12"/>
        <v>0</v>
      </c>
      <c r="BC6" s="43">
        <v>518627</v>
      </c>
      <c r="BD6" s="43">
        <v>175012</v>
      </c>
      <c r="BE6" t="s">
        <v>1423</v>
      </c>
      <c r="BF6"/>
      <c r="BM6" t="s">
        <v>1545</v>
      </c>
      <c r="BN6" t="s">
        <v>1493</v>
      </c>
    </row>
    <row r="7" spans="1:66" x14ac:dyDescent="0.25">
      <c r="A7" s="56" t="s">
        <v>64</v>
      </c>
      <c r="B7" s="19" t="s">
        <v>31</v>
      </c>
      <c r="C7" s="56" t="s">
        <v>1203</v>
      </c>
      <c r="D7" s="34">
        <v>42009</v>
      </c>
      <c r="E7" s="34">
        <v>44033</v>
      </c>
      <c r="F7" s="34">
        <v>43132</v>
      </c>
      <c r="G7" s="37">
        <v>43749</v>
      </c>
      <c r="H7" s="33" t="s">
        <v>1099</v>
      </c>
      <c r="I7" s="19" t="s">
        <v>1173</v>
      </c>
      <c r="J7" s="19"/>
      <c r="K7" s="56" t="s">
        <v>65</v>
      </c>
      <c r="L7" s="57" t="s">
        <v>66</v>
      </c>
      <c r="M7" s="56" t="s">
        <v>67</v>
      </c>
      <c r="N7" s="56"/>
      <c r="O7" s="56"/>
      <c r="P7" s="56"/>
      <c r="Q7" s="56"/>
      <c r="R7" s="56"/>
      <c r="S7" s="56"/>
      <c r="T7" s="56"/>
      <c r="U7" s="56"/>
      <c r="V7" s="56">
        <f t="shared" si="0"/>
        <v>0</v>
      </c>
      <c r="W7" s="56"/>
      <c r="X7" s="56">
        <v>6</v>
      </c>
      <c r="Y7" s="56"/>
      <c r="Z7" s="56"/>
      <c r="AA7" s="56"/>
      <c r="AB7" s="56"/>
      <c r="AC7" s="56"/>
      <c r="AD7" s="56"/>
      <c r="AE7" s="56"/>
      <c r="AF7" s="56">
        <f t="shared" si="1"/>
        <v>6</v>
      </c>
      <c r="AG7" s="56">
        <f t="shared" si="2"/>
        <v>6</v>
      </c>
      <c r="AH7" s="56">
        <f t="shared" si="3"/>
        <v>0</v>
      </c>
      <c r="AI7" s="56">
        <f t="shared" si="4"/>
        <v>0</v>
      </c>
      <c r="AJ7" s="56">
        <f t="shared" si="5"/>
        <v>0</v>
      </c>
      <c r="AK7" s="56">
        <f t="shared" si="6"/>
        <v>0</v>
      </c>
      <c r="AL7" s="56">
        <f t="shared" si="7"/>
        <v>0</v>
      </c>
      <c r="AM7" s="56">
        <f t="shared" si="8"/>
        <v>0</v>
      </c>
      <c r="AN7" s="56">
        <f t="shared" si="9"/>
        <v>0</v>
      </c>
      <c r="AO7" s="58">
        <f t="shared" si="10"/>
        <v>6</v>
      </c>
      <c r="AP7" s="69"/>
      <c r="AQ7" s="40">
        <f t="shared" si="11"/>
        <v>6</v>
      </c>
      <c r="AR7" s="40">
        <v>0</v>
      </c>
      <c r="AS7" s="31">
        <v>0</v>
      </c>
      <c r="AT7" s="31">
        <v>0</v>
      </c>
      <c r="AU7" s="31">
        <v>0</v>
      </c>
      <c r="AV7" s="39">
        <v>0</v>
      </c>
      <c r="AW7" s="31"/>
      <c r="AX7" s="31"/>
      <c r="AY7" s="31"/>
      <c r="AZ7" s="31"/>
      <c r="BA7" s="39"/>
      <c r="BB7" s="152">
        <f t="shared" si="12"/>
        <v>0</v>
      </c>
      <c r="BC7" s="43">
        <v>515764</v>
      </c>
      <c r="BD7" s="43">
        <v>173105</v>
      </c>
      <c r="BE7" t="s">
        <v>1424</v>
      </c>
      <c r="BF7"/>
      <c r="BG7" t="s">
        <v>1406</v>
      </c>
    </row>
    <row r="8" spans="1:66" x14ac:dyDescent="0.25">
      <c r="A8" s="56" t="s">
        <v>69</v>
      </c>
      <c r="B8" s="19" t="s">
        <v>20</v>
      </c>
      <c r="C8" s="56"/>
      <c r="D8" s="34">
        <v>42215</v>
      </c>
      <c r="E8" s="34">
        <v>43311</v>
      </c>
      <c r="F8" s="34">
        <v>43276</v>
      </c>
      <c r="G8" s="34">
        <v>43880</v>
      </c>
      <c r="H8" s="33" t="s">
        <v>1099</v>
      </c>
      <c r="I8" s="19" t="s">
        <v>1173</v>
      </c>
      <c r="J8" s="19"/>
      <c r="K8" s="56" t="s">
        <v>70</v>
      </c>
      <c r="L8" s="57" t="s">
        <v>71</v>
      </c>
      <c r="M8" s="56" t="s">
        <v>72</v>
      </c>
      <c r="N8" s="56"/>
      <c r="O8" s="56"/>
      <c r="P8" s="56"/>
      <c r="Q8" s="56"/>
      <c r="R8" s="56"/>
      <c r="S8" s="56"/>
      <c r="T8" s="56"/>
      <c r="U8" s="56"/>
      <c r="V8" s="56">
        <f t="shared" si="0"/>
        <v>0</v>
      </c>
      <c r="W8" s="56"/>
      <c r="X8" s="56">
        <v>2</v>
      </c>
      <c r="Y8" s="56">
        <v>6</v>
      </c>
      <c r="Z8" s="56"/>
      <c r="AA8" s="56"/>
      <c r="AB8" s="56"/>
      <c r="AC8" s="56"/>
      <c r="AD8" s="56"/>
      <c r="AE8" s="56"/>
      <c r="AF8" s="56">
        <f t="shared" si="1"/>
        <v>8</v>
      </c>
      <c r="AG8" s="56">
        <f t="shared" si="2"/>
        <v>2</v>
      </c>
      <c r="AH8" s="56">
        <f t="shared" si="3"/>
        <v>6</v>
      </c>
      <c r="AI8" s="56">
        <f t="shared" si="4"/>
        <v>0</v>
      </c>
      <c r="AJ8" s="56">
        <f t="shared" si="5"/>
        <v>0</v>
      </c>
      <c r="AK8" s="56">
        <f t="shared" si="6"/>
        <v>0</v>
      </c>
      <c r="AL8" s="56">
        <f t="shared" si="7"/>
        <v>0</v>
      </c>
      <c r="AM8" s="56">
        <f t="shared" si="8"/>
        <v>0</v>
      </c>
      <c r="AN8" s="56">
        <f t="shared" si="9"/>
        <v>0</v>
      </c>
      <c r="AO8" s="58">
        <f t="shared" si="10"/>
        <v>8</v>
      </c>
      <c r="AP8" s="69"/>
      <c r="AQ8" s="40">
        <f t="shared" si="11"/>
        <v>8</v>
      </c>
      <c r="AR8" s="40">
        <v>0</v>
      </c>
      <c r="AS8" s="31">
        <v>0</v>
      </c>
      <c r="AT8" s="31">
        <v>0</v>
      </c>
      <c r="AU8" s="31">
        <v>0</v>
      </c>
      <c r="AV8" s="39">
        <v>0</v>
      </c>
      <c r="AW8" s="31"/>
      <c r="AX8" s="31"/>
      <c r="AY8" s="31"/>
      <c r="AZ8" s="31"/>
      <c r="BA8" s="39"/>
      <c r="BB8" s="152">
        <f t="shared" si="12"/>
        <v>0</v>
      </c>
      <c r="BC8" s="43">
        <v>521414</v>
      </c>
      <c r="BD8" s="43">
        <v>175749</v>
      </c>
      <c r="BE8" t="s">
        <v>1459</v>
      </c>
      <c r="BF8"/>
      <c r="BI8" t="s">
        <v>1551</v>
      </c>
      <c r="BJ8" t="s">
        <v>1494</v>
      </c>
    </row>
    <row r="9" spans="1:66" x14ac:dyDescent="0.25">
      <c r="A9" s="56" t="s">
        <v>73</v>
      </c>
      <c r="B9" s="19" t="s">
        <v>48</v>
      </c>
      <c r="C9" s="56"/>
      <c r="D9" s="34">
        <v>42685</v>
      </c>
      <c r="E9" s="34">
        <v>43780</v>
      </c>
      <c r="F9" s="34">
        <v>43114</v>
      </c>
      <c r="G9" s="34">
        <v>43789</v>
      </c>
      <c r="H9" s="33" t="s">
        <v>1099</v>
      </c>
      <c r="I9" s="19" t="s">
        <v>1173</v>
      </c>
      <c r="J9" s="19"/>
      <c r="K9" s="56" t="s">
        <v>74</v>
      </c>
      <c r="L9" s="57" t="s">
        <v>75</v>
      </c>
      <c r="M9" s="56"/>
      <c r="N9" s="56"/>
      <c r="O9" s="56"/>
      <c r="P9" s="56"/>
      <c r="Q9" s="56">
        <v>1</v>
      </c>
      <c r="R9" s="56"/>
      <c r="S9" s="56"/>
      <c r="T9" s="56"/>
      <c r="U9" s="56"/>
      <c r="V9" s="56">
        <f t="shared" si="0"/>
        <v>1</v>
      </c>
      <c r="W9" s="56"/>
      <c r="X9" s="56">
        <v>1</v>
      </c>
      <c r="Y9" s="56">
        <v>2</v>
      </c>
      <c r="Z9" s="56"/>
      <c r="AA9" s="56"/>
      <c r="AB9" s="56"/>
      <c r="AC9" s="56"/>
      <c r="AD9" s="56"/>
      <c r="AE9" s="56"/>
      <c r="AF9" s="56">
        <f t="shared" si="1"/>
        <v>3</v>
      </c>
      <c r="AG9" s="56">
        <f t="shared" si="2"/>
        <v>1</v>
      </c>
      <c r="AH9" s="56">
        <f t="shared" si="3"/>
        <v>2</v>
      </c>
      <c r="AI9" s="56">
        <f t="shared" si="4"/>
        <v>0</v>
      </c>
      <c r="AJ9" s="56">
        <f t="shared" si="5"/>
        <v>-1</v>
      </c>
      <c r="AK9" s="56">
        <f t="shared" si="6"/>
        <v>0</v>
      </c>
      <c r="AL9" s="56">
        <f t="shared" si="7"/>
        <v>0</v>
      </c>
      <c r="AM9" s="56">
        <f t="shared" si="8"/>
        <v>0</v>
      </c>
      <c r="AN9" s="56">
        <f t="shared" si="9"/>
        <v>0</v>
      </c>
      <c r="AO9" s="58">
        <f t="shared" si="10"/>
        <v>2</v>
      </c>
      <c r="AP9" s="69"/>
      <c r="AQ9" s="40">
        <f t="shared" si="11"/>
        <v>2</v>
      </c>
      <c r="AR9" s="40">
        <v>0</v>
      </c>
      <c r="AS9" s="31">
        <v>0</v>
      </c>
      <c r="AT9" s="31">
        <v>0</v>
      </c>
      <c r="AU9" s="31">
        <v>0</v>
      </c>
      <c r="AV9" s="39">
        <v>0</v>
      </c>
      <c r="AW9" s="31"/>
      <c r="AX9" s="31"/>
      <c r="AY9" s="31"/>
      <c r="AZ9" s="31"/>
      <c r="BA9" s="39"/>
      <c r="BB9" s="152">
        <f t="shared" si="12"/>
        <v>0</v>
      </c>
      <c r="BC9" s="43">
        <v>520471</v>
      </c>
      <c r="BD9" s="43">
        <v>175586</v>
      </c>
      <c r="BE9" t="s">
        <v>1402</v>
      </c>
      <c r="BF9"/>
      <c r="BG9" t="s">
        <v>1402</v>
      </c>
      <c r="BM9" t="s">
        <v>1545</v>
      </c>
      <c r="BN9" t="s">
        <v>1495</v>
      </c>
    </row>
    <row r="10" spans="1:66" x14ac:dyDescent="0.25">
      <c r="A10" s="56" t="s">
        <v>86</v>
      </c>
      <c r="B10" s="19" t="s">
        <v>31</v>
      </c>
      <c r="C10" s="56" t="s">
        <v>1203</v>
      </c>
      <c r="D10" s="34">
        <v>42066</v>
      </c>
      <c r="E10" s="34">
        <v>43893</v>
      </c>
      <c r="F10" s="34">
        <v>42430</v>
      </c>
      <c r="G10" s="37">
        <v>43616</v>
      </c>
      <c r="H10" s="33" t="s">
        <v>1099</v>
      </c>
      <c r="I10" s="19" t="s">
        <v>1173</v>
      </c>
      <c r="J10" s="19"/>
      <c r="K10" s="56" t="s">
        <v>1595</v>
      </c>
      <c r="L10" s="57" t="s">
        <v>87</v>
      </c>
      <c r="M10" s="56" t="s">
        <v>88</v>
      </c>
      <c r="N10" s="56"/>
      <c r="O10" s="56"/>
      <c r="P10" s="56"/>
      <c r="Q10" s="56"/>
      <c r="R10" s="56"/>
      <c r="S10" s="56"/>
      <c r="T10" s="56"/>
      <c r="U10" s="56"/>
      <c r="V10" s="56">
        <f t="shared" si="0"/>
        <v>0</v>
      </c>
      <c r="W10" s="56"/>
      <c r="X10" s="56"/>
      <c r="Y10" s="56"/>
      <c r="Z10" s="56">
        <v>1</v>
      </c>
      <c r="AA10" s="56"/>
      <c r="AB10" s="56"/>
      <c r="AC10" s="56"/>
      <c r="AD10" s="56"/>
      <c r="AE10" s="56"/>
      <c r="AF10" s="56">
        <f t="shared" si="1"/>
        <v>1</v>
      </c>
      <c r="AG10" s="56">
        <f t="shared" si="2"/>
        <v>0</v>
      </c>
      <c r="AH10" s="56">
        <f t="shared" si="3"/>
        <v>0</v>
      </c>
      <c r="AI10" s="56">
        <f t="shared" si="4"/>
        <v>1</v>
      </c>
      <c r="AJ10" s="56">
        <f t="shared" si="5"/>
        <v>0</v>
      </c>
      <c r="AK10" s="56">
        <f t="shared" si="6"/>
        <v>0</v>
      </c>
      <c r="AL10" s="56">
        <f t="shared" si="7"/>
        <v>0</v>
      </c>
      <c r="AM10" s="56">
        <f t="shared" si="8"/>
        <v>0</v>
      </c>
      <c r="AN10" s="56">
        <f t="shared" si="9"/>
        <v>0</v>
      </c>
      <c r="AO10" s="58">
        <f t="shared" si="10"/>
        <v>1</v>
      </c>
      <c r="AP10" s="248"/>
      <c r="AQ10" s="40">
        <f t="shared" si="11"/>
        <v>1</v>
      </c>
      <c r="AR10" s="40">
        <v>0</v>
      </c>
      <c r="AS10" s="31">
        <v>0</v>
      </c>
      <c r="AT10" s="31">
        <v>0</v>
      </c>
      <c r="AU10" s="31">
        <v>0</v>
      </c>
      <c r="AV10" s="39">
        <v>0</v>
      </c>
      <c r="AW10" s="31"/>
      <c r="AX10" s="31"/>
      <c r="AY10" s="31"/>
      <c r="AZ10" s="31"/>
      <c r="BA10" s="39"/>
      <c r="BB10" s="152">
        <f t="shared" si="12"/>
        <v>0</v>
      </c>
      <c r="BC10" s="43">
        <v>513125</v>
      </c>
      <c r="BD10" s="43">
        <v>169836</v>
      </c>
      <c r="BE10" s="150" t="s">
        <v>1417</v>
      </c>
      <c r="BF10" s="150"/>
      <c r="BG10" s="150"/>
      <c r="BH10" s="150"/>
      <c r="BI10" s="150"/>
      <c r="BJ10" s="150"/>
      <c r="BK10" s="150"/>
      <c r="BL10" s="150"/>
      <c r="BM10" s="150"/>
      <c r="BN10" s="150"/>
    </row>
    <row r="11" spans="1:66" s="150" customFormat="1" x14ac:dyDescent="0.25">
      <c r="A11" s="56" t="s">
        <v>89</v>
      </c>
      <c r="B11" s="19" t="s">
        <v>20</v>
      </c>
      <c r="C11" s="56"/>
      <c r="D11" s="34">
        <v>42405</v>
      </c>
      <c r="E11" s="34">
        <v>43501</v>
      </c>
      <c r="F11" s="34">
        <v>43010</v>
      </c>
      <c r="G11" s="34">
        <v>43605</v>
      </c>
      <c r="H11" s="33" t="s">
        <v>1099</v>
      </c>
      <c r="I11" s="19" t="s">
        <v>1173</v>
      </c>
      <c r="J11" s="19"/>
      <c r="K11" s="56" t="s">
        <v>90</v>
      </c>
      <c r="L11" s="57" t="s">
        <v>91</v>
      </c>
      <c r="M11" s="56"/>
      <c r="N11" s="56"/>
      <c r="O11" s="56"/>
      <c r="P11" s="56">
        <v>1</v>
      </c>
      <c r="Q11" s="56"/>
      <c r="R11" s="56"/>
      <c r="S11" s="56"/>
      <c r="T11" s="56"/>
      <c r="U11" s="56"/>
      <c r="V11" s="56">
        <f t="shared" si="0"/>
        <v>1</v>
      </c>
      <c r="W11" s="56"/>
      <c r="X11" s="56"/>
      <c r="Y11" s="56">
        <v>2</v>
      </c>
      <c r="Z11" s="56">
        <v>1</v>
      </c>
      <c r="AA11" s="56"/>
      <c r="AB11" s="56"/>
      <c r="AC11" s="56"/>
      <c r="AD11" s="56"/>
      <c r="AE11" s="56"/>
      <c r="AF11" s="56">
        <f t="shared" si="1"/>
        <v>3</v>
      </c>
      <c r="AG11" s="56">
        <f t="shared" si="2"/>
        <v>0</v>
      </c>
      <c r="AH11" s="56">
        <f t="shared" si="3"/>
        <v>2</v>
      </c>
      <c r="AI11" s="56">
        <f t="shared" si="4"/>
        <v>0</v>
      </c>
      <c r="AJ11" s="56">
        <f t="shared" si="5"/>
        <v>0</v>
      </c>
      <c r="AK11" s="56">
        <f t="shared" si="6"/>
        <v>0</v>
      </c>
      <c r="AL11" s="56">
        <f t="shared" si="7"/>
        <v>0</v>
      </c>
      <c r="AM11" s="56">
        <f t="shared" si="8"/>
        <v>0</v>
      </c>
      <c r="AN11" s="56">
        <f t="shared" si="9"/>
        <v>0</v>
      </c>
      <c r="AO11" s="58">
        <f t="shared" si="10"/>
        <v>2</v>
      </c>
      <c r="AP11" s="69"/>
      <c r="AQ11" s="40">
        <f t="shared" si="11"/>
        <v>2</v>
      </c>
      <c r="AR11" s="40">
        <v>0</v>
      </c>
      <c r="AS11" s="31">
        <v>0</v>
      </c>
      <c r="AT11" s="31">
        <v>0</v>
      </c>
      <c r="AU11" s="31">
        <v>0</v>
      </c>
      <c r="AV11" s="39">
        <v>0</v>
      </c>
      <c r="AW11" s="31"/>
      <c r="AX11" s="31"/>
      <c r="AY11" s="31"/>
      <c r="AZ11" s="31"/>
      <c r="BA11" s="39"/>
      <c r="BB11" s="152">
        <f t="shared" si="12"/>
        <v>0</v>
      </c>
      <c r="BC11" s="43">
        <v>515646</v>
      </c>
      <c r="BD11" s="43">
        <v>171303</v>
      </c>
      <c r="BE11" t="s">
        <v>1405</v>
      </c>
      <c r="BF11"/>
      <c r="BG11"/>
      <c r="BH11"/>
      <c r="BI11"/>
      <c r="BJ11"/>
      <c r="BK11"/>
      <c r="BL11"/>
      <c r="BM11"/>
      <c r="BN11"/>
    </row>
    <row r="12" spans="1:66" x14ac:dyDescent="0.25">
      <c r="A12" s="56" t="s">
        <v>92</v>
      </c>
      <c r="B12" s="19" t="s">
        <v>38</v>
      </c>
      <c r="C12" s="56"/>
      <c r="D12" s="34">
        <v>42586</v>
      </c>
      <c r="E12" s="34">
        <v>43681</v>
      </c>
      <c r="F12" s="34">
        <v>43160</v>
      </c>
      <c r="G12" s="34">
        <v>43714</v>
      </c>
      <c r="H12" s="33" t="s">
        <v>1099</v>
      </c>
      <c r="I12" s="19" t="s">
        <v>1173</v>
      </c>
      <c r="J12" s="19"/>
      <c r="K12" s="56" t="s">
        <v>93</v>
      </c>
      <c r="L12" s="57" t="s">
        <v>94</v>
      </c>
      <c r="M12" s="56"/>
      <c r="N12" s="56">
        <v>1</v>
      </c>
      <c r="O12" s="56">
        <v>3</v>
      </c>
      <c r="P12" s="56"/>
      <c r="Q12" s="56"/>
      <c r="R12" s="56"/>
      <c r="S12" s="56"/>
      <c r="T12" s="56"/>
      <c r="U12" s="56"/>
      <c r="V12" s="56">
        <f t="shared" si="0"/>
        <v>4</v>
      </c>
      <c r="W12" s="56"/>
      <c r="X12" s="56"/>
      <c r="Y12" s="56"/>
      <c r="Z12" s="56"/>
      <c r="AA12" s="56">
        <v>1</v>
      </c>
      <c r="AB12" s="56"/>
      <c r="AC12" s="56"/>
      <c r="AD12" s="56"/>
      <c r="AE12" s="56"/>
      <c r="AF12" s="56">
        <f t="shared" si="1"/>
        <v>1</v>
      </c>
      <c r="AG12" s="56">
        <f t="shared" si="2"/>
        <v>-1</v>
      </c>
      <c r="AH12" s="56">
        <f t="shared" si="3"/>
        <v>-3</v>
      </c>
      <c r="AI12" s="56">
        <f t="shared" si="4"/>
        <v>0</v>
      </c>
      <c r="AJ12" s="56">
        <f t="shared" si="5"/>
        <v>1</v>
      </c>
      <c r="AK12" s="56">
        <f t="shared" si="6"/>
        <v>0</v>
      </c>
      <c r="AL12" s="56">
        <f t="shared" si="7"/>
        <v>0</v>
      </c>
      <c r="AM12" s="56">
        <f t="shared" si="8"/>
        <v>0</v>
      </c>
      <c r="AN12" s="56">
        <f t="shared" si="9"/>
        <v>0</v>
      </c>
      <c r="AO12" s="58">
        <f t="shared" si="10"/>
        <v>-3</v>
      </c>
      <c r="AP12" s="69"/>
      <c r="AQ12" s="40">
        <f t="shared" si="11"/>
        <v>-3</v>
      </c>
      <c r="AR12" s="40">
        <v>0</v>
      </c>
      <c r="AS12" s="31">
        <v>0</v>
      </c>
      <c r="AT12" s="31">
        <v>0</v>
      </c>
      <c r="AU12" s="31">
        <v>0</v>
      </c>
      <c r="AV12" s="39">
        <v>0</v>
      </c>
      <c r="AW12" s="31"/>
      <c r="AX12" s="31"/>
      <c r="AY12" s="31"/>
      <c r="AZ12" s="31"/>
      <c r="BA12" s="39"/>
      <c r="BB12" s="152">
        <f t="shared" si="12"/>
        <v>0</v>
      </c>
      <c r="BC12" s="43">
        <v>518586</v>
      </c>
      <c r="BD12" s="43">
        <v>174575</v>
      </c>
      <c r="BE12" t="s">
        <v>1423</v>
      </c>
      <c r="BF12"/>
      <c r="BM12" t="s">
        <v>1545</v>
      </c>
      <c r="BN12" t="s">
        <v>1493</v>
      </c>
    </row>
    <row r="13" spans="1:66" x14ac:dyDescent="0.25">
      <c r="A13" s="56" t="s">
        <v>95</v>
      </c>
      <c r="B13" s="19" t="s">
        <v>20</v>
      </c>
      <c r="C13" s="56"/>
      <c r="D13" s="34">
        <v>43371</v>
      </c>
      <c r="E13" s="34">
        <v>44470</v>
      </c>
      <c r="F13" s="34">
        <v>43497</v>
      </c>
      <c r="G13" s="34">
        <v>43899</v>
      </c>
      <c r="H13" s="33" t="s">
        <v>1099</v>
      </c>
      <c r="I13" s="19" t="s">
        <v>1173</v>
      </c>
      <c r="J13" s="19"/>
      <c r="K13" s="56" t="s">
        <v>96</v>
      </c>
      <c r="L13" s="57" t="s">
        <v>97</v>
      </c>
      <c r="M13" s="56" t="s">
        <v>98</v>
      </c>
      <c r="N13" s="56"/>
      <c r="O13" s="56"/>
      <c r="P13" s="56"/>
      <c r="Q13" s="56"/>
      <c r="R13" s="56"/>
      <c r="S13" s="56"/>
      <c r="T13" s="56"/>
      <c r="U13" s="56"/>
      <c r="V13" s="56">
        <f t="shared" si="0"/>
        <v>0</v>
      </c>
      <c r="W13" s="56"/>
      <c r="X13" s="56">
        <v>1</v>
      </c>
      <c r="Y13" s="56"/>
      <c r="Z13" s="56"/>
      <c r="AA13" s="56"/>
      <c r="AB13" s="56"/>
      <c r="AC13" s="56"/>
      <c r="AD13" s="56"/>
      <c r="AE13" s="56"/>
      <c r="AF13" s="56">
        <f t="shared" si="1"/>
        <v>1</v>
      </c>
      <c r="AG13" s="56">
        <f t="shared" si="2"/>
        <v>1</v>
      </c>
      <c r="AH13" s="56">
        <f t="shared" si="3"/>
        <v>0</v>
      </c>
      <c r="AI13" s="56">
        <f t="shared" si="4"/>
        <v>0</v>
      </c>
      <c r="AJ13" s="56">
        <f t="shared" si="5"/>
        <v>0</v>
      </c>
      <c r="AK13" s="56">
        <f t="shared" si="6"/>
        <v>0</v>
      </c>
      <c r="AL13" s="56">
        <f t="shared" si="7"/>
        <v>0</v>
      </c>
      <c r="AM13" s="56">
        <f t="shared" si="8"/>
        <v>0</v>
      </c>
      <c r="AN13" s="56">
        <f t="shared" si="9"/>
        <v>0</v>
      </c>
      <c r="AO13" s="58">
        <f t="shared" si="10"/>
        <v>1</v>
      </c>
      <c r="AP13" s="69"/>
      <c r="AQ13" s="40">
        <f t="shared" si="11"/>
        <v>1</v>
      </c>
      <c r="AR13" s="40">
        <v>0</v>
      </c>
      <c r="AS13" s="31">
        <v>0</v>
      </c>
      <c r="AT13" s="31">
        <v>0</v>
      </c>
      <c r="AU13" s="31">
        <v>0</v>
      </c>
      <c r="AV13" s="39">
        <v>0</v>
      </c>
      <c r="AW13" s="31"/>
      <c r="AX13" s="31"/>
      <c r="AY13" s="31"/>
      <c r="AZ13" s="31"/>
      <c r="BA13" s="39"/>
      <c r="BB13" s="152">
        <f t="shared" si="12"/>
        <v>0</v>
      </c>
      <c r="BC13" s="43">
        <v>515114</v>
      </c>
      <c r="BD13" s="43">
        <v>172749</v>
      </c>
      <c r="BE13" t="s">
        <v>1427</v>
      </c>
      <c r="BF13"/>
      <c r="BI13" t="s">
        <v>1551</v>
      </c>
      <c r="BJ13" t="s">
        <v>1496</v>
      </c>
    </row>
    <row r="14" spans="1:66" x14ac:dyDescent="0.25">
      <c r="A14" s="56" t="s">
        <v>102</v>
      </c>
      <c r="B14" s="19" t="s">
        <v>20</v>
      </c>
      <c r="C14" s="56"/>
      <c r="D14" s="34">
        <v>42605</v>
      </c>
      <c r="E14" s="34">
        <v>44004</v>
      </c>
      <c r="F14" s="34">
        <v>43132</v>
      </c>
      <c r="G14" s="34">
        <v>43759</v>
      </c>
      <c r="H14" s="33" t="s">
        <v>1099</v>
      </c>
      <c r="I14" s="19" t="s">
        <v>1173</v>
      </c>
      <c r="J14" s="19"/>
      <c r="K14" s="56" t="s">
        <v>103</v>
      </c>
      <c r="L14" s="57" t="s">
        <v>104</v>
      </c>
      <c r="M14" s="56" t="s">
        <v>105</v>
      </c>
      <c r="N14" s="56"/>
      <c r="O14" s="56"/>
      <c r="P14" s="56"/>
      <c r="Q14" s="56"/>
      <c r="R14" s="56">
        <v>1</v>
      </c>
      <c r="S14" s="56"/>
      <c r="T14" s="56"/>
      <c r="U14" s="56"/>
      <c r="V14" s="56">
        <f t="shared" si="0"/>
        <v>1</v>
      </c>
      <c r="W14" s="56"/>
      <c r="X14" s="56"/>
      <c r="Y14" s="56"/>
      <c r="Z14" s="56"/>
      <c r="AA14" s="56"/>
      <c r="AB14" s="56">
        <v>2</v>
      </c>
      <c r="AC14" s="56"/>
      <c r="AD14" s="56"/>
      <c r="AE14" s="56"/>
      <c r="AF14" s="56">
        <f t="shared" si="1"/>
        <v>2</v>
      </c>
      <c r="AG14" s="56">
        <f t="shared" si="2"/>
        <v>0</v>
      </c>
      <c r="AH14" s="56">
        <f t="shared" si="3"/>
        <v>0</v>
      </c>
      <c r="AI14" s="56">
        <f t="shared" si="4"/>
        <v>0</v>
      </c>
      <c r="AJ14" s="56">
        <f t="shared" si="5"/>
        <v>0</v>
      </c>
      <c r="AK14" s="56">
        <f t="shared" si="6"/>
        <v>1</v>
      </c>
      <c r="AL14" s="56">
        <f t="shared" si="7"/>
        <v>0</v>
      </c>
      <c r="AM14" s="56">
        <f t="shared" si="8"/>
        <v>0</v>
      </c>
      <c r="AN14" s="56">
        <f t="shared" si="9"/>
        <v>0</v>
      </c>
      <c r="AO14" s="58">
        <f t="shared" si="10"/>
        <v>1</v>
      </c>
      <c r="AP14" s="69"/>
      <c r="AQ14" s="40">
        <f t="shared" si="11"/>
        <v>1</v>
      </c>
      <c r="AR14" s="40">
        <v>0</v>
      </c>
      <c r="AS14" s="31">
        <v>0</v>
      </c>
      <c r="AT14" s="31">
        <v>0</v>
      </c>
      <c r="AU14" s="31">
        <v>0</v>
      </c>
      <c r="AV14" s="39">
        <v>0</v>
      </c>
      <c r="AW14" s="31"/>
      <c r="AX14" s="31"/>
      <c r="AY14" s="31"/>
      <c r="AZ14" s="31"/>
      <c r="BA14" s="39"/>
      <c r="BB14" s="152">
        <f t="shared" si="12"/>
        <v>0</v>
      </c>
      <c r="BC14" s="43">
        <v>516222</v>
      </c>
      <c r="BD14" s="43">
        <v>174079</v>
      </c>
      <c r="BE14" t="s">
        <v>1488</v>
      </c>
      <c r="BF14"/>
    </row>
    <row r="15" spans="1:66" x14ac:dyDescent="0.25">
      <c r="A15" s="56" t="s">
        <v>109</v>
      </c>
      <c r="B15" s="19" t="s">
        <v>20</v>
      </c>
      <c r="C15" s="56"/>
      <c r="D15" s="34">
        <v>42220</v>
      </c>
      <c r="E15" s="34">
        <v>43316</v>
      </c>
      <c r="F15" s="34">
        <v>43191</v>
      </c>
      <c r="G15" s="37">
        <v>43756</v>
      </c>
      <c r="H15" s="33" t="s">
        <v>1099</v>
      </c>
      <c r="I15" s="19" t="s">
        <v>1173</v>
      </c>
      <c r="J15" s="19"/>
      <c r="K15" s="56" t="s">
        <v>110</v>
      </c>
      <c r="L15" s="57" t="s">
        <v>111</v>
      </c>
      <c r="M15" s="56"/>
      <c r="N15" s="56"/>
      <c r="O15" s="56"/>
      <c r="P15" s="56"/>
      <c r="Q15" s="56"/>
      <c r="R15" s="56"/>
      <c r="S15" s="56"/>
      <c r="T15" s="56"/>
      <c r="U15" s="56"/>
      <c r="V15" s="56">
        <f t="shared" si="0"/>
        <v>0</v>
      </c>
      <c r="W15" s="56"/>
      <c r="X15" s="56"/>
      <c r="Y15" s="56">
        <v>4</v>
      </c>
      <c r="Z15" s="56"/>
      <c r="AA15" s="56"/>
      <c r="AB15" s="56"/>
      <c r="AC15" s="56"/>
      <c r="AD15" s="56"/>
      <c r="AE15" s="56"/>
      <c r="AF15" s="56">
        <f t="shared" si="1"/>
        <v>4</v>
      </c>
      <c r="AG15" s="56">
        <f t="shared" si="2"/>
        <v>0</v>
      </c>
      <c r="AH15" s="56">
        <f t="shared" si="3"/>
        <v>4</v>
      </c>
      <c r="AI15" s="56">
        <f t="shared" si="4"/>
        <v>0</v>
      </c>
      <c r="AJ15" s="56">
        <f t="shared" si="5"/>
        <v>0</v>
      </c>
      <c r="AK15" s="56">
        <f t="shared" si="6"/>
        <v>0</v>
      </c>
      <c r="AL15" s="56">
        <f t="shared" si="7"/>
        <v>0</v>
      </c>
      <c r="AM15" s="56">
        <f t="shared" si="8"/>
        <v>0</v>
      </c>
      <c r="AN15" s="56">
        <f t="shared" si="9"/>
        <v>0</v>
      </c>
      <c r="AO15" s="58">
        <f t="shared" si="10"/>
        <v>4</v>
      </c>
      <c r="AP15" s="69"/>
      <c r="AQ15" s="40">
        <f t="shared" si="11"/>
        <v>4</v>
      </c>
      <c r="AR15" s="40">
        <v>0</v>
      </c>
      <c r="AS15" s="31">
        <v>0</v>
      </c>
      <c r="AT15" s="31">
        <v>0</v>
      </c>
      <c r="AU15" s="31">
        <v>0</v>
      </c>
      <c r="AV15" s="39">
        <v>0</v>
      </c>
      <c r="AW15" s="31"/>
      <c r="AX15" s="31"/>
      <c r="AY15" s="31"/>
      <c r="AZ15" s="31"/>
      <c r="BA15" s="39"/>
      <c r="BB15" s="152">
        <f t="shared" si="12"/>
        <v>0</v>
      </c>
      <c r="BC15" s="43">
        <v>519022</v>
      </c>
      <c r="BD15" s="43">
        <v>175824</v>
      </c>
      <c r="BE15" t="s">
        <v>1420</v>
      </c>
      <c r="BF15"/>
    </row>
    <row r="16" spans="1:66" x14ac:dyDescent="0.25">
      <c r="A16" s="56" t="s">
        <v>112</v>
      </c>
      <c r="B16" s="19" t="s">
        <v>20</v>
      </c>
      <c r="C16" s="56"/>
      <c r="D16" s="34">
        <v>42212</v>
      </c>
      <c r="E16" s="34">
        <v>43308</v>
      </c>
      <c r="F16" s="34">
        <v>42502</v>
      </c>
      <c r="G16" s="37">
        <v>43705</v>
      </c>
      <c r="H16" s="33" t="s">
        <v>1099</v>
      </c>
      <c r="I16" s="19" t="s">
        <v>1173</v>
      </c>
      <c r="J16" s="19"/>
      <c r="K16" s="56" t="s">
        <v>113</v>
      </c>
      <c r="L16" s="46" t="s">
        <v>114</v>
      </c>
      <c r="M16" s="56"/>
      <c r="N16" s="56"/>
      <c r="O16" s="56"/>
      <c r="P16" s="56"/>
      <c r="Q16" s="56"/>
      <c r="R16" s="56"/>
      <c r="S16" s="56"/>
      <c r="T16" s="56"/>
      <c r="U16" s="56"/>
      <c r="V16" s="56">
        <f t="shared" si="0"/>
        <v>0</v>
      </c>
      <c r="W16" s="56"/>
      <c r="X16" s="56"/>
      <c r="Y16" s="56"/>
      <c r="Z16" s="56">
        <v>1</v>
      </c>
      <c r="AA16" s="56"/>
      <c r="AB16" s="56"/>
      <c r="AC16" s="56"/>
      <c r="AD16" s="56"/>
      <c r="AE16" s="56"/>
      <c r="AF16" s="56">
        <f t="shared" si="1"/>
        <v>1</v>
      </c>
      <c r="AG16" s="56">
        <f t="shared" si="2"/>
        <v>0</v>
      </c>
      <c r="AH16" s="56">
        <f t="shared" si="3"/>
        <v>0</v>
      </c>
      <c r="AI16" s="56">
        <f t="shared" si="4"/>
        <v>1</v>
      </c>
      <c r="AJ16" s="56">
        <f t="shared" si="5"/>
        <v>0</v>
      </c>
      <c r="AK16" s="56">
        <f t="shared" si="6"/>
        <v>0</v>
      </c>
      <c r="AL16" s="56">
        <f t="shared" si="7"/>
        <v>0</v>
      </c>
      <c r="AM16" s="56">
        <f t="shared" si="8"/>
        <v>0</v>
      </c>
      <c r="AN16" s="56">
        <f t="shared" si="9"/>
        <v>0</v>
      </c>
      <c r="AO16" s="58">
        <f t="shared" si="10"/>
        <v>1</v>
      </c>
      <c r="AP16" s="69"/>
      <c r="AQ16" s="40">
        <f t="shared" si="11"/>
        <v>1</v>
      </c>
      <c r="AR16" s="40">
        <v>0</v>
      </c>
      <c r="AS16" s="31">
        <v>0</v>
      </c>
      <c r="AT16" s="31">
        <v>0</v>
      </c>
      <c r="AU16" s="31">
        <v>0</v>
      </c>
      <c r="AV16" s="39">
        <v>0</v>
      </c>
      <c r="AW16" s="31"/>
      <c r="AX16" s="31"/>
      <c r="AY16" s="31"/>
      <c r="AZ16" s="31"/>
      <c r="BA16" s="39"/>
      <c r="BB16" s="152">
        <f t="shared" si="12"/>
        <v>0</v>
      </c>
      <c r="BC16" s="43">
        <v>516657</v>
      </c>
      <c r="BD16" s="43">
        <v>173659</v>
      </c>
      <c r="BE16" t="s">
        <v>1426</v>
      </c>
      <c r="BF16"/>
    </row>
    <row r="17" spans="1:66" x14ac:dyDescent="0.25">
      <c r="A17" s="56" t="s">
        <v>130</v>
      </c>
      <c r="B17" s="19" t="s">
        <v>38</v>
      </c>
      <c r="C17" s="56"/>
      <c r="D17" s="34">
        <v>42367</v>
      </c>
      <c r="E17" s="34">
        <v>43464</v>
      </c>
      <c r="F17" s="37">
        <v>43437</v>
      </c>
      <c r="G17" s="37">
        <v>43647</v>
      </c>
      <c r="H17" s="33" t="s">
        <v>1099</v>
      </c>
      <c r="I17" s="19" t="s">
        <v>1173</v>
      </c>
      <c r="J17" s="19"/>
      <c r="K17" s="56" t="s">
        <v>131</v>
      </c>
      <c r="L17" s="57" t="s">
        <v>132</v>
      </c>
      <c r="M17" s="56"/>
      <c r="N17" s="56">
        <v>1</v>
      </c>
      <c r="O17" s="56"/>
      <c r="P17" s="56">
        <v>1</v>
      </c>
      <c r="Q17" s="56"/>
      <c r="R17" s="56"/>
      <c r="S17" s="56"/>
      <c r="T17" s="56"/>
      <c r="U17" s="56"/>
      <c r="V17" s="56">
        <f t="shared" si="0"/>
        <v>2</v>
      </c>
      <c r="W17" s="56"/>
      <c r="X17" s="56"/>
      <c r="Y17" s="56"/>
      <c r="Z17" s="56"/>
      <c r="AA17" s="56">
        <v>1</v>
      </c>
      <c r="AB17" s="56"/>
      <c r="AC17" s="56"/>
      <c r="AD17" s="56"/>
      <c r="AE17" s="56"/>
      <c r="AF17" s="56">
        <f t="shared" si="1"/>
        <v>1</v>
      </c>
      <c r="AG17" s="56">
        <f t="shared" si="2"/>
        <v>-1</v>
      </c>
      <c r="AH17" s="56">
        <f t="shared" si="3"/>
        <v>0</v>
      </c>
      <c r="AI17" s="56">
        <f t="shared" si="4"/>
        <v>-1</v>
      </c>
      <c r="AJ17" s="56">
        <f t="shared" si="5"/>
        <v>1</v>
      </c>
      <c r="AK17" s="56">
        <f t="shared" si="6"/>
        <v>0</v>
      </c>
      <c r="AL17" s="56">
        <f t="shared" si="7"/>
        <v>0</v>
      </c>
      <c r="AM17" s="56">
        <f t="shared" si="8"/>
        <v>0</v>
      </c>
      <c r="AN17" s="56">
        <f t="shared" si="9"/>
        <v>0</v>
      </c>
      <c r="AO17" s="58">
        <f t="shared" si="10"/>
        <v>-1</v>
      </c>
      <c r="AP17" s="69"/>
      <c r="AQ17" s="40">
        <f t="shared" si="11"/>
        <v>-1</v>
      </c>
      <c r="AR17" s="40">
        <v>0</v>
      </c>
      <c r="AS17" s="31">
        <v>0</v>
      </c>
      <c r="AT17" s="31">
        <v>0</v>
      </c>
      <c r="AU17" s="31">
        <v>0</v>
      </c>
      <c r="AV17" s="39">
        <v>0</v>
      </c>
      <c r="AW17" s="31"/>
      <c r="AX17" s="31"/>
      <c r="AY17" s="31"/>
      <c r="AZ17" s="31"/>
      <c r="BA17" s="39"/>
      <c r="BB17" s="152">
        <f t="shared" si="12"/>
        <v>0</v>
      </c>
      <c r="BC17" s="43">
        <v>514482</v>
      </c>
      <c r="BD17" s="43">
        <v>170638</v>
      </c>
      <c r="BE17" t="s">
        <v>1458</v>
      </c>
      <c r="BF17"/>
      <c r="BM17" t="s">
        <v>1545</v>
      </c>
      <c r="BN17" t="s">
        <v>1497</v>
      </c>
    </row>
    <row r="18" spans="1:66" x14ac:dyDescent="0.25">
      <c r="A18" s="56" t="s">
        <v>143</v>
      </c>
      <c r="B18" s="19" t="s">
        <v>43</v>
      </c>
      <c r="C18" s="56"/>
      <c r="D18" s="34">
        <v>42523</v>
      </c>
      <c r="E18" s="34">
        <v>43618</v>
      </c>
      <c r="F18" s="34">
        <v>42891</v>
      </c>
      <c r="G18" s="37">
        <v>43706</v>
      </c>
      <c r="H18" s="33" t="s">
        <v>1099</v>
      </c>
      <c r="I18" s="19" t="s">
        <v>1173</v>
      </c>
      <c r="J18" s="19"/>
      <c r="K18" s="56" t="s">
        <v>144</v>
      </c>
      <c r="L18" s="57" t="s">
        <v>145</v>
      </c>
      <c r="M18" s="56"/>
      <c r="N18" s="56"/>
      <c r="O18" s="56">
        <v>1</v>
      </c>
      <c r="P18" s="56"/>
      <c r="Q18" s="56"/>
      <c r="R18" s="56"/>
      <c r="S18" s="56"/>
      <c r="T18" s="56"/>
      <c r="U18" s="56"/>
      <c r="V18" s="56">
        <f t="shared" si="0"/>
        <v>1</v>
      </c>
      <c r="W18" s="56"/>
      <c r="X18" s="56">
        <v>2</v>
      </c>
      <c r="Y18" s="56"/>
      <c r="Z18" s="56"/>
      <c r="AA18" s="56"/>
      <c r="AB18" s="56"/>
      <c r="AC18" s="56"/>
      <c r="AD18" s="56"/>
      <c r="AE18" s="56"/>
      <c r="AF18" s="56">
        <f t="shared" si="1"/>
        <v>2</v>
      </c>
      <c r="AG18" s="56">
        <f t="shared" si="2"/>
        <v>2</v>
      </c>
      <c r="AH18" s="56">
        <f t="shared" si="3"/>
        <v>-1</v>
      </c>
      <c r="AI18" s="56">
        <f t="shared" si="4"/>
        <v>0</v>
      </c>
      <c r="AJ18" s="56">
        <f t="shared" si="5"/>
        <v>0</v>
      </c>
      <c r="AK18" s="56">
        <f t="shared" si="6"/>
        <v>0</v>
      </c>
      <c r="AL18" s="56">
        <f t="shared" si="7"/>
        <v>0</v>
      </c>
      <c r="AM18" s="56">
        <f t="shared" si="8"/>
        <v>0</v>
      </c>
      <c r="AN18" s="56">
        <f t="shared" si="9"/>
        <v>0</v>
      </c>
      <c r="AO18" s="58">
        <f t="shared" si="10"/>
        <v>1</v>
      </c>
      <c r="AP18" s="69"/>
      <c r="AQ18" s="40">
        <f t="shared" si="11"/>
        <v>1</v>
      </c>
      <c r="AR18" s="40">
        <v>0</v>
      </c>
      <c r="AS18" s="31">
        <v>0</v>
      </c>
      <c r="AT18" s="31">
        <v>0</v>
      </c>
      <c r="AU18" s="31">
        <v>0</v>
      </c>
      <c r="AV18" s="39">
        <v>0</v>
      </c>
      <c r="AW18" s="31"/>
      <c r="AX18" s="31"/>
      <c r="AY18" s="31"/>
      <c r="AZ18" s="31"/>
      <c r="BA18" s="39"/>
      <c r="BB18" s="152">
        <f t="shared" si="12"/>
        <v>0</v>
      </c>
      <c r="BC18" s="43">
        <v>517353</v>
      </c>
      <c r="BD18" s="43">
        <v>174325</v>
      </c>
      <c r="BE18" t="s">
        <v>1426</v>
      </c>
      <c r="BF18"/>
    </row>
    <row r="19" spans="1:66" ht="15" customHeight="1" x14ac:dyDescent="0.25">
      <c r="A19" s="56" t="s">
        <v>146</v>
      </c>
      <c r="B19" s="19" t="s">
        <v>31</v>
      </c>
      <c r="C19" s="56" t="s">
        <v>1203</v>
      </c>
      <c r="D19" s="34">
        <v>42346</v>
      </c>
      <c r="E19" s="34">
        <v>44174</v>
      </c>
      <c r="F19" s="19"/>
      <c r="G19" s="37">
        <v>43556</v>
      </c>
      <c r="H19" s="33" t="s">
        <v>1099</v>
      </c>
      <c r="I19" s="19" t="s">
        <v>1173</v>
      </c>
      <c r="J19" s="19"/>
      <c r="K19" s="56" t="s">
        <v>147</v>
      </c>
      <c r="L19" s="57" t="s">
        <v>148</v>
      </c>
      <c r="M19" s="56" t="s">
        <v>149</v>
      </c>
      <c r="N19" s="56"/>
      <c r="O19" s="56"/>
      <c r="P19" s="56"/>
      <c r="Q19" s="56"/>
      <c r="R19" s="56"/>
      <c r="S19" s="56"/>
      <c r="T19" s="56"/>
      <c r="U19" s="56"/>
      <c r="V19" s="56">
        <f t="shared" si="0"/>
        <v>0</v>
      </c>
      <c r="W19" s="56"/>
      <c r="X19" s="56"/>
      <c r="Y19" s="56"/>
      <c r="Z19" s="56"/>
      <c r="AA19" s="56">
        <v>1</v>
      </c>
      <c r="AB19" s="56"/>
      <c r="AC19" s="56"/>
      <c r="AD19" s="56"/>
      <c r="AE19" s="56"/>
      <c r="AF19" s="56">
        <f t="shared" si="1"/>
        <v>1</v>
      </c>
      <c r="AG19" s="56">
        <f t="shared" si="2"/>
        <v>0</v>
      </c>
      <c r="AH19" s="56">
        <f t="shared" si="3"/>
        <v>0</v>
      </c>
      <c r="AI19" s="56">
        <f t="shared" si="4"/>
        <v>0</v>
      </c>
      <c r="AJ19" s="56">
        <f t="shared" si="5"/>
        <v>1</v>
      </c>
      <c r="AK19" s="56">
        <f t="shared" si="6"/>
        <v>0</v>
      </c>
      <c r="AL19" s="56">
        <f t="shared" si="7"/>
        <v>0</v>
      </c>
      <c r="AM19" s="56">
        <f t="shared" si="8"/>
        <v>0</v>
      </c>
      <c r="AN19" s="56">
        <f t="shared" si="9"/>
        <v>0</v>
      </c>
      <c r="AO19" s="58">
        <f t="shared" si="10"/>
        <v>1</v>
      </c>
      <c r="AP19" s="69"/>
      <c r="AQ19" s="40">
        <f t="shared" si="11"/>
        <v>1</v>
      </c>
      <c r="AR19" s="40">
        <v>0</v>
      </c>
      <c r="AS19" s="31">
        <v>0</v>
      </c>
      <c r="AT19" s="31">
        <v>0</v>
      </c>
      <c r="AU19" s="31">
        <v>0</v>
      </c>
      <c r="AV19" s="39">
        <v>0</v>
      </c>
      <c r="AW19" s="31"/>
      <c r="AX19" s="31"/>
      <c r="AY19" s="31"/>
      <c r="AZ19" s="31"/>
      <c r="BA19" s="39"/>
      <c r="BB19" s="152">
        <f t="shared" si="12"/>
        <v>0</v>
      </c>
      <c r="BC19" s="43">
        <v>517033</v>
      </c>
      <c r="BD19" s="43">
        <v>170116</v>
      </c>
      <c r="BE19" t="s">
        <v>1418</v>
      </c>
      <c r="BF19"/>
    </row>
    <row r="20" spans="1:66" x14ac:dyDescent="0.25">
      <c r="A20" s="56" t="s">
        <v>158</v>
      </c>
      <c r="B20" s="19" t="s">
        <v>20</v>
      </c>
      <c r="C20" s="56"/>
      <c r="D20" s="34">
        <v>42619</v>
      </c>
      <c r="E20" s="34">
        <v>43715</v>
      </c>
      <c r="F20" s="19"/>
      <c r="G20" s="34">
        <v>43677</v>
      </c>
      <c r="H20" s="33" t="s">
        <v>1099</v>
      </c>
      <c r="I20" s="19" t="s">
        <v>1173</v>
      </c>
      <c r="J20" s="19"/>
      <c r="K20" s="56" t="s">
        <v>159</v>
      </c>
      <c r="L20" s="57" t="s">
        <v>160</v>
      </c>
      <c r="M20" s="56"/>
      <c r="N20" s="56"/>
      <c r="O20" s="56"/>
      <c r="P20" s="56"/>
      <c r="Q20" s="56"/>
      <c r="R20" s="56"/>
      <c r="S20" s="56"/>
      <c r="T20" s="56"/>
      <c r="U20" s="56"/>
      <c r="V20" s="56">
        <f t="shared" si="0"/>
        <v>0</v>
      </c>
      <c r="W20" s="56"/>
      <c r="X20" s="56"/>
      <c r="Y20" s="56"/>
      <c r="Z20" s="56">
        <v>1</v>
      </c>
      <c r="AA20" s="56"/>
      <c r="AB20" s="56"/>
      <c r="AC20" s="56"/>
      <c r="AD20" s="56"/>
      <c r="AE20" s="56"/>
      <c r="AF20" s="56">
        <f t="shared" si="1"/>
        <v>1</v>
      </c>
      <c r="AG20" s="56">
        <f t="shared" si="2"/>
        <v>0</v>
      </c>
      <c r="AH20" s="56">
        <f t="shared" si="3"/>
        <v>0</v>
      </c>
      <c r="AI20" s="56">
        <f t="shared" si="4"/>
        <v>1</v>
      </c>
      <c r="AJ20" s="56">
        <f t="shared" si="5"/>
        <v>0</v>
      </c>
      <c r="AK20" s="56">
        <f t="shared" si="6"/>
        <v>0</v>
      </c>
      <c r="AL20" s="56">
        <f t="shared" si="7"/>
        <v>0</v>
      </c>
      <c r="AM20" s="56">
        <f t="shared" si="8"/>
        <v>0</v>
      </c>
      <c r="AN20" s="56">
        <f t="shared" si="9"/>
        <v>0</v>
      </c>
      <c r="AO20" s="58">
        <f t="shared" si="10"/>
        <v>1</v>
      </c>
      <c r="AP20" s="69"/>
      <c r="AQ20" s="40">
        <f t="shared" si="11"/>
        <v>1</v>
      </c>
      <c r="AR20" s="40">
        <v>0</v>
      </c>
      <c r="AS20" s="31">
        <v>0</v>
      </c>
      <c r="AT20" s="31">
        <v>0</v>
      </c>
      <c r="AU20" s="31">
        <v>0</v>
      </c>
      <c r="AV20" s="39">
        <v>0</v>
      </c>
      <c r="AW20" s="31"/>
      <c r="AX20" s="31"/>
      <c r="AY20" s="31"/>
      <c r="AZ20" s="31"/>
      <c r="BA20" s="39"/>
      <c r="BB20" s="152">
        <f t="shared" si="12"/>
        <v>0</v>
      </c>
      <c r="BC20" s="43">
        <v>515214</v>
      </c>
      <c r="BD20" s="43">
        <v>171265</v>
      </c>
      <c r="BE20" t="s">
        <v>1458</v>
      </c>
      <c r="BF20"/>
    </row>
    <row r="21" spans="1:66" x14ac:dyDescent="0.25">
      <c r="A21" s="56" t="s">
        <v>161</v>
      </c>
      <c r="B21" s="19" t="s">
        <v>20</v>
      </c>
      <c r="C21" s="56"/>
      <c r="D21" s="34">
        <v>42621</v>
      </c>
      <c r="E21" s="34">
        <v>43759</v>
      </c>
      <c r="F21" s="34">
        <v>43040</v>
      </c>
      <c r="G21" s="34">
        <v>43646</v>
      </c>
      <c r="H21" s="33" t="s">
        <v>1099</v>
      </c>
      <c r="I21" s="19" t="s">
        <v>1215</v>
      </c>
      <c r="J21" s="19"/>
      <c r="K21" s="56" t="s">
        <v>162</v>
      </c>
      <c r="L21" s="57" t="s">
        <v>163</v>
      </c>
      <c r="M21" s="56"/>
      <c r="N21" s="56"/>
      <c r="O21" s="56"/>
      <c r="P21" s="56"/>
      <c r="Q21" s="56"/>
      <c r="R21" s="56"/>
      <c r="S21" s="56"/>
      <c r="T21" s="56"/>
      <c r="U21" s="56"/>
      <c r="V21" s="56">
        <f t="shared" si="0"/>
        <v>0</v>
      </c>
      <c r="W21" s="56" t="s">
        <v>121</v>
      </c>
      <c r="X21" s="56">
        <v>2</v>
      </c>
      <c r="Y21" s="56">
        <v>8</v>
      </c>
      <c r="Z21" s="56">
        <v>5</v>
      </c>
      <c r="AA21" s="56"/>
      <c r="AB21" s="56"/>
      <c r="AC21" s="56"/>
      <c r="AD21" s="56"/>
      <c r="AE21" s="56">
        <v>15</v>
      </c>
      <c r="AF21" s="56">
        <f t="shared" si="1"/>
        <v>15</v>
      </c>
      <c r="AG21" s="56">
        <f t="shared" si="2"/>
        <v>2</v>
      </c>
      <c r="AH21" s="56">
        <f t="shared" si="3"/>
        <v>8</v>
      </c>
      <c r="AI21" s="56">
        <f t="shared" si="4"/>
        <v>5</v>
      </c>
      <c r="AJ21" s="56">
        <f t="shared" si="5"/>
        <v>0</v>
      </c>
      <c r="AK21" s="56">
        <f t="shared" si="6"/>
        <v>0</v>
      </c>
      <c r="AL21" s="56">
        <f t="shared" si="7"/>
        <v>0</v>
      </c>
      <c r="AM21" s="56">
        <f t="shared" si="8"/>
        <v>0</v>
      </c>
      <c r="AN21" s="56">
        <f t="shared" si="9"/>
        <v>0</v>
      </c>
      <c r="AO21" s="58">
        <f t="shared" si="10"/>
        <v>15</v>
      </c>
      <c r="AP21" s="69" t="s">
        <v>121</v>
      </c>
      <c r="AQ21" s="40">
        <f t="shared" si="11"/>
        <v>15</v>
      </c>
      <c r="AR21" s="40">
        <v>0</v>
      </c>
      <c r="AS21" s="31">
        <v>0</v>
      </c>
      <c r="AT21" s="31">
        <v>0</v>
      </c>
      <c r="AU21" s="31">
        <v>0</v>
      </c>
      <c r="AV21" s="39">
        <v>0</v>
      </c>
      <c r="AW21" s="31"/>
      <c r="AX21" s="31"/>
      <c r="AY21" s="31"/>
      <c r="AZ21" s="31"/>
      <c r="BA21" s="39"/>
      <c r="BB21" s="152">
        <f t="shared" si="12"/>
        <v>0</v>
      </c>
      <c r="BC21" s="43">
        <v>517536</v>
      </c>
      <c r="BD21" s="43">
        <v>170257</v>
      </c>
      <c r="BE21" t="s">
        <v>1418</v>
      </c>
      <c r="BF21"/>
      <c r="BM21" t="s">
        <v>1545</v>
      </c>
      <c r="BN21" t="s">
        <v>1498</v>
      </c>
    </row>
    <row r="22" spans="1:66" x14ac:dyDescent="0.25">
      <c r="A22" s="56" t="s">
        <v>170</v>
      </c>
      <c r="B22" s="19" t="s">
        <v>20</v>
      </c>
      <c r="C22" s="56"/>
      <c r="D22" s="34">
        <v>42536</v>
      </c>
      <c r="E22" s="34">
        <v>43633</v>
      </c>
      <c r="F22" s="19"/>
      <c r="G22" s="34">
        <v>43676</v>
      </c>
      <c r="H22" s="33" t="s">
        <v>1099</v>
      </c>
      <c r="I22" s="19" t="s">
        <v>1173</v>
      </c>
      <c r="J22" s="19"/>
      <c r="K22" s="56" t="s">
        <v>171</v>
      </c>
      <c r="L22" s="57" t="s">
        <v>172</v>
      </c>
      <c r="M22" s="56" t="s">
        <v>633</v>
      </c>
      <c r="N22" s="56"/>
      <c r="O22" s="56"/>
      <c r="P22" s="56">
        <v>1</v>
      </c>
      <c r="Q22" s="56"/>
      <c r="R22" s="56"/>
      <c r="S22" s="56"/>
      <c r="T22" s="56"/>
      <c r="U22" s="56"/>
      <c r="V22" s="56">
        <f t="shared" si="0"/>
        <v>1</v>
      </c>
      <c r="W22" s="56"/>
      <c r="X22" s="56"/>
      <c r="Y22" s="56"/>
      <c r="Z22" s="56">
        <v>1</v>
      </c>
      <c r="AA22" s="56"/>
      <c r="AB22" s="56"/>
      <c r="AC22" s="56"/>
      <c r="AD22" s="56"/>
      <c r="AE22" s="56"/>
      <c r="AF22" s="56">
        <f t="shared" si="1"/>
        <v>1</v>
      </c>
      <c r="AG22" s="56">
        <f t="shared" si="2"/>
        <v>0</v>
      </c>
      <c r="AH22" s="56">
        <f t="shared" si="3"/>
        <v>0</v>
      </c>
      <c r="AI22" s="56">
        <f t="shared" si="4"/>
        <v>0</v>
      </c>
      <c r="AJ22" s="56">
        <f t="shared" si="5"/>
        <v>0</v>
      </c>
      <c r="AK22" s="56">
        <f t="shared" si="6"/>
        <v>0</v>
      </c>
      <c r="AL22" s="56">
        <f t="shared" si="7"/>
        <v>0</v>
      </c>
      <c r="AM22" s="56">
        <f t="shared" si="8"/>
        <v>0</v>
      </c>
      <c r="AN22" s="56">
        <f t="shared" si="9"/>
        <v>0</v>
      </c>
      <c r="AO22" s="58">
        <f t="shared" si="10"/>
        <v>0</v>
      </c>
      <c r="AP22" s="69"/>
      <c r="AQ22" s="40">
        <f t="shared" si="11"/>
        <v>0</v>
      </c>
      <c r="AR22" s="40">
        <v>0</v>
      </c>
      <c r="AS22" s="31">
        <v>0</v>
      </c>
      <c r="AT22" s="31">
        <v>0</v>
      </c>
      <c r="AU22" s="31">
        <v>0</v>
      </c>
      <c r="AV22" s="39">
        <v>0</v>
      </c>
      <c r="AW22" s="31"/>
      <c r="AX22" s="31"/>
      <c r="AY22" s="31"/>
      <c r="AZ22" s="31"/>
      <c r="BA22" s="39"/>
      <c r="BB22" s="152">
        <f t="shared" si="12"/>
        <v>0</v>
      </c>
      <c r="BC22" s="43">
        <v>513492</v>
      </c>
      <c r="BD22" s="43">
        <v>170250</v>
      </c>
      <c r="BE22" t="s">
        <v>1417</v>
      </c>
      <c r="BF22"/>
    </row>
    <row r="23" spans="1:66" x14ac:dyDescent="0.25">
      <c r="A23" s="56" t="s">
        <v>176</v>
      </c>
      <c r="B23" s="19" t="s">
        <v>20</v>
      </c>
      <c r="C23" s="56"/>
      <c r="D23" s="34">
        <v>42657</v>
      </c>
      <c r="E23" s="34">
        <v>43752</v>
      </c>
      <c r="F23" s="34">
        <v>43070</v>
      </c>
      <c r="G23" s="34">
        <v>43665</v>
      </c>
      <c r="H23" s="33" t="s">
        <v>1099</v>
      </c>
      <c r="I23" s="19" t="s">
        <v>1173</v>
      </c>
      <c r="J23" s="19"/>
      <c r="K23" s="56" t="s">
        <v>177</v>
      </c>
      <c r="L23" s="57" t="s">
        <v>178</v>
      </c>
      <c r="M23" s="56" t="s">
        <v>179</v>
      </c>
      <c r="N23" s="56"/>
      <c r="O23" s="56"/>
      <c r="P23" s="56"/>
      <c r="Q23" s="56"/>
      <c r="R23" s="56"/>
      <c r="S23" s="56"/>
      <c r="T23" s="56"/>
      <c r="U23" s="56"/>
      <c r="V23" s="56">
        <f t="shared" si="0"/>
        <v>0</v>
      </c>
      <c r="W23" s="56"/>
      <c r="X23" s="56"/>
      <c r="Y23" s="56"/>
      <c r="Z23" s="56"/>
      <c r="AA23" s="56">
        <v>1</v>
      </c>
      <c r="AB23" s="56"/>
      <c r="AC23" s="56"/>
      <c r="AD23" s="56"/>
      <c r="AE23" s="56"/>
      <c r="AF23" s="56">
        <f t="shared" si="1"/>
        <v>1</v>
      </c>
      <c r="AG23" s="56">
        <f t="shared" si="2"/>
        <v>0</v>
      </c>
      <c r="AH23" s="56">
        <f t="shared" si="3"/>
        <v>0</v>
      </c>
      <c r="AI23" s="56">
        <f t="shared" si="4"/>
        <v>0</v>
      </c>
      <c r="AJ23" s="56">
        <f t="shared" si="5"/>
        <v>1</v>
      </c>
      <c r="AK23" s="56">
        <f t="shared" si="6"/>
        <v>0</v>
      </c>
      <c r="AL23" s="56">
        <f t="shared" si="7"/>
        <v>0</v>
      </c>
      <c r="AM23" s="56">
        <f t="shared" si="8"/>
        <v>0</v>
      </c>
      <c r="AN23" s="56">
        <f t="shared" si="9"/>
        <v>0</v>
      </c>
      <c r="AO23" s="58">
        <f t="shared" si="10"/>
        <v>1</v>
      </c>
      <c r="AP23" s="69"/>
      <c r="AQ23" s="40">
        <f t="shared" si="11"/>
        <v>1</v>
      </c>
      <c r="AR23" s="40">
        <v>0</v>
      </c>
      <c r="AS23" s="31">
        <v>0</v>
      </c>
      <c r="AT23" s="31">
        <v>0</v>
      </c>
      <c r="AU23" s="31">
        <v>0</v>
      </c>
      <c r="AV23" s="39">
        <v>0</v>
      </c>
      <c r="AW23" s="31"/>
      <c r="AX23" s="31"/>
      <c r="AY23" s="31"/>
      <c r="AZ23" s="31"/>
      <c r="BA23" s="39"/>
      <c r="BB23" s="152">
        <f t="shared" si="12"/>
        <v>0</v>
      </c>
      <c r="BC23" s="43">
        <v>515988</v>
      </c>
      <c r="BD23" s="43">
        <v>173004</v>
      </c>
      <c r="BE23" t="s">
        <v>1424</v>
      </c>
      <c r="BF23" t="s">
        <v>1410</v>
      </c>
    </row>
    <row r="24" spans="1:66" x14ac:dyDescent="0.25">
      <c r="A24" s="56" t="s">
        <v>202</v>
      </c>
      <c r="B24" s="19" t="s">
        <v>43</v>
      </c>
      <c r="C24" s="56"/>
      <c r="D24" s="34">
        <v>43059</v>
      </c>
      <c r="E24" s="34">
        <v>44156</v>
      </c>
      <c r="F24" s="34">
        <v>43132</v>
      </c>
      <c r="G24" s="37">
        <v>43749</v>
      </c>
      <c r="H24" s="33" t="s">
        <v>1099</v>
      </c>
      <c r="I24" s="19" t="s">
        <v>1173</v>
      </c>
      <c r="J24" s="19"/>
      <c r="K24" s="56" t="s">
        <v>203</v>
      </c>
      <c r="L24" s="57" t="s">
        <v>66</v>
      </c>
      <c r="M24" s="56" t="s">
        <v>67</v>
      </c>
      <c r="N24" s="56"/>
      <c r="O24" s="56"/>
      <c r="P24" s="56"/>
      <c r="Q24" s="56"/>
      <c r="R24" s="56"/>
      <c r="S24" s="56"/>
      <c r="T24" s="56"/>
      <c r="U24" s="56"/>
      <c r="V24" s="56">
        <f t="shared" si="0"/>
        <v>0</v>
      </c>
      <c r="W24" s="56"/>
      <c r="X24" s="56">
        <v>2</v>
      </c>
      <c r="Y24" s="56">
        <v>2</v>
      </c>
      <c r="Z24" s="56"/>
      <c r="AA24" s="56"/>
      <c r="AB24" s="56"/>
      <c r="AC24" s="56"/>
      <c r="AD24" s="56"/>
      <c r="AE24" s="56"/>
      <c r="AF24" s="56">
        <f t="shared" si="1"/>
        <v>4</v>
      </c>
      <c r="AG24" s="56">
        <f t="shared" si="2"/>
        <v>2</v>
      </c>
      <c r="AH24" s="56">
        <f t="shared" si="3"/>
        <v>2</v>
      </c>
      <c r="AI24" s="56">
        <f t="shared" si="4"/>
        <v>0</v>
      </c>
      <c r="AJ24" s="56">
        <f t="shared" si="5"/>
        <v>0</v>
      </c>
      <c r="AK24" s="56">
        <f t="shared" si="6"/>
        <v>0</v>
      </c>
      <c r="AL24" s="56">
        <f t="shared" si="7"/>
        <v>0</v>
      </c>
      <c r="AM24" s="56">
        <f t="shared" si="8"/>
        <v>0</v>
      </c>
      <c r="AN24" s="56">
        <f t="shared" si="9"/>
        <v>0</v>
      </c>
      <c r="AO24" s="58">
        <f t="shared" si="10"/>
        <v>4</v>
      </c>
      <c r="AP24" s="69"/>
      <c r="AQ24" s="40">
        <f t="shared" si="11"/>
        <v>4</v>
      </c>
      <c r="AR24" s="40">
        <v>0</v>
      </c>
      <c r="AS24" s="31">
        <v>0</v>
      </c>
      <c r="AT24" s="31">
        <v>0</v>
      </c>
      <c r="AU24" s="31">
        <v>0</v>
      </c>
      <c r="AV24" s="39">
        <v>0</v>
      </c>
      <c r="AW24" s="31"/>
      <c r="AX24" s="31"/>
      <c r="AY24" s="31"/>
      <c r="AZ24" s="31"/>
      <c r="BA24" s="39"/>
      <c r="BB24" s="152">
        <f t="shared" si="12"/>
        <v>0</v>
      </c>
      <c r="BC24" s="43">
        <v>515764</v>
      </c>
      <c r="BD24" s="43">
        <v>173105</v>
      </c>
      <c r="BE24" t="s">
        <v>1424</v>
      </c>
      <c r="BF24"/>
      <c r="BG24" t="s">
        <v>1406</v>
      </c>
    </row>
    <row r="25" spans="1:66" x14ac:dyDescent="0.25">
      <c r="A25" s="56" t="s">
        <v>204</v>
      </c>
      <c r="B25" s="19" t="s">
        <v>31</v>
      </c>
      <c r="C25" s="56"/>
      <c r="D25" s="34">
        <v>42873</v>
      </c>
      <c r="E25" s="34">
        <v>43969</v>
      </c>
      <c r="F25" s="34">
        <v>43108</v>
      </c>
      <c r="G25" s="34">
        <v>43711</v>
      </c>
      <c r="H25" s="33" t="s">
        <v>1099</v>
      </c>
      <c r="I25" s="19" t="s">
        <v>1173</v>
      </c>
      <c r="J25" s="19"/>
      <c r="K25" s="56" t="s">
        <v>205</v>
      </c>
      <c r="L25" s="57" t="s">
        <v>206</v>
      </c>
      <c r="M25" s="56" t="s">
        <v>207</v>
      </c>
      <c r="N25" s="56"/>
      <c r="O25" s="56"/>
      <c r="P25" s="56"/>
      <c r="Q25" s="56"/>
      <c r="R25" s="56"/>
      <c r="S25" s="56"/>
      <c r="T25" s="56"/>
      <c r="U25" s="56"/>
      <c r="V25" s="56">
        <f t="shared" si="0"/>
        <v>0</v>
      </c>
      <c r="W25" s="56"/>
      <c r="X25" s="56">
        <v>3</v>
      </c>
      <c r="Y25" s="56"/>
      <c r="Z25" s="56"/>
      <c r="AA25" s="56"/>
      <c r="AB25" s="56"/>
      <c r="AC25" s="56"/>
      <c r="AD25" s="56"/>
      <c r="AE25" s="56"/>
      <c r="AF25" s="56">
        <f t="shared" si="1"/>
        <v>3</v>
      </c>
      <c r="AG25" s="56">
        <f t="shared" si="2"/>
        <v>3</v>
      </c>
      <c r="AH25" s="56">
        <f t="shared" si="3"/>
        <v>0</v>
      </c>
      <c r="AI25" s="56">
        <f t="shared" si="4"/>
        <v>0</v>
      </c>
      <c r="AJ25" s="56">
        <f t="shared" si="5"/>
        <v>0</v>
      </c>
      <c r="AK25" s="56">
        <f t="shared" si="6"/>
        <v>0</v>
      </c>
      <c r="AL25" s="56">
        <f t="shared" si="7"/>
        <v>0</v>
      </c>
      <c r="AM25" s="56">
        <f t="shared" si="8"/>
        <v>0</v>
      </c>
      <c r="AN25" s="56">
        <f t="shared" si="9"/>
        <v>0</v>
      </c>
      <c r="AO25" s="58">
        <f t="shared" si="10"/>
        <v>3</v>
      </c>
      <c r="AP25" s="69"/>
      <c r="AQ25" s="40">
        <f t="shared" si="11"/>
        <v>3</v>
      </c>
      <c r="AR25" s="40">
        <v>0</v>
      </c>
      <c r="AS25" s="31">
        <v>0</v>
      </c>
      <c r="AT25" s="31">
        <v>0</v>
      </c>
      <c r="AU25" s="31">
        <v>0</v>
      </c>
      <c r="AV25" s="39">
        <v>0</v>
      </c>
      <c r="AW25" s="31"/>
      <c r="AX25" s="31"/>
      <c r="AY25" s="31"/>
      <c r="AZ25" s="31"/>
      <c r="BA25" s="39"/>
      <c r="BB25" s="152">
        <f t="shared" si="12"/>
        <v>0</v>
      </c>
      <c r="BC25" s="43">
        <v>516815</v>
      </c>
      <c r="BD25" s="43">
        <v>174220</v>
      </c>
      <c r="BE25" t="s">
        <v>1488</v>
      </c>
      <c r="BF25"/>
      <c r="BI25" t="s">
        <v>1551</v>
      </c>
      <c r="BJ25" t="s">
        <v>1499</v>
      </c>
      <c r="BM25" t="s">
        <v>1545</v>
      </c>
      <c r="BN25" t="s">
        <v>1500</v>
      </c>
    </row>
    <row r="26" spans="1:66" x14ac:dyDescent="0.25">
      <c r="A26" s="56" t="s">
        <v>211</v>
      </c>
      <c r="B26" s="19" t="s">
        <v>48</v>
      </c>
      <c r="C26" s="56"/>
      <c r="D26" s="34">
        <v>42751</v>
      </c>
      <c r="E26" s="34">
        <v>43954</v>
      </c>
      <c r="F26" s="34">
        <v>43132</v>
      </c>
      <c r="G26" s="34">
        <v>43678</v>
      </c>
      <c r="H26" s="33" t="s">
        <v>1099</v>
      </c>
      <c r="I26" s="19" t="s">
        <v>1173</v>
      </c>
      <c r="J26" s="19"/>
      <c r="K26" s="56" t="s">
        <v>212</v>
      </c>
      <c r="L26" s="57" t="s">
        <v>213</v>
      </c>
      <c r="M26" s="56" t="s">
        <v>153</v>
      </c>
      <c r="N26" s="56"/>
      <c r="O26" s="56">
        <v>1</v>
      </c>
      <c r="P26" s="56"/>
      <c r="Q26" s="56"/>
      <c r="R26" s="56"/>
      <c r="S26" s="56"/>
      <c r="T26" s="56"/>
      <c r="U26" s="56"/>
      <c r="V26" s="56">
        <f t="shared" si="0"/>
        <v>1</v>
      </c>
      <c r="W26" s="56"/>
      <c r="X26" s="56">
        <v>2</v>
      </c>
      <c r="Y26" s="56">
        <v>2</v>
      </c>
      <c r="Z26" s="56"/>
      <c r="AA26" s="56"/>
      <c r="AB26" s="56"/>
      <c r="AC26" s="56"/>
      <c r="AD26" s="56"/>
      <c r="AE26" s="56"/>
      <c r="AF26" s="56">
        <f t="shared" si="1"/>
        <v>4</v>
      </c>
      <c r="AG26" s="56">
        <f t="shared" si="2"/>
        <v>2</v>
      </c>
      <c r="AH26" s="56">
        <f t="shared" si="3"/>
        <v>1</v>
      </c>
      <c r="AI26" s="56">
        <f t="shared" si="4"/>
        <v>0</v>
      </c>
      <c r="AJ26" s="56">
        <f t="shared" si="5"/>
        <v>0</v>
      </c>
      <c r="AK26" s="56">
        <f t="shared" si="6"/>
        <v>0</v>
      </c>
      <c r="AL26" s="56">
        <f t="shared" si="7"/>
        <v>0</v>
      </c>
      <c r="AM26" s="56">
        <f t="shared" si="8"/>
        <v>0</v>
      </c>
      <c r="AN26" s="56">
        <f t="shared" si="9"/>
        <v>0</v>
      </c>
      <c r="AO26" s="58">
        <f t="shared" si="10"/>
        <v>3</v>
      </c>
      <c r="AP26" s="69"/>
      <c r="AQ26" s="40">
        <f t="shared" si="11"/>
        <v>3</v>
      </c>
      <c r="AR26" s="40">
        <v>0</v>
      </c>
      <c r="AS26" s="31">
        <v>0</v>
      </c>
      <c r="AT26" s="31">
        <v>0</v>
      </c>
      <c r="AU26" s="31">
        <v>0</v>
      </c>
      <c r="AV26" s="39">
        <v>0</v>
      </c>
      <c r="AW26" s="31"/>
      <c r="AX26" s="31"/>
      <c r="AY26" s="31"/>
      <c r="AZ26" s="31"/>
      <c r="BA26" s="39"/>
      <c r="BB26" s="152">
        <f t="shared" si="12"/>
        <v>0</v>
      </c>
      <c r="BC26" s="43">
        <v>513783</v>
      </c>
      <c r="BD26" s="43">
        <v>169643</v>
      </c>
      <c r="BE26" t="s">
        <v>1417</v>
      </c>
      <c r="BF26"/>
      <c r="BI26" t="s">
        <v>1551</v>
      </c>
      <c r="BJ26" t="s">
        <v>1501</v>
      </c>
      <c r="BM26" t="s">
        <v>1545</v>
      </c>
      <c r="BN26" t="s">
        <v>1502</v>
      </c>
    </row>
    <row r="27" spans="1:66" x14ac:dyDescent="0.25">
      <c r="A27" s="56" t="s">
        <v>221</v>
      </c>
      <c r="B27" s="19" t="s">
        <v>31</v>
      </c>
      <c r="C27" s="56" t="s">
        <v>1203</v>
      </c>
      <c r="D27" s="34">
        <v>42555</v>
      </c>
      <c r="E27" s="34">
        <v>43665</v>
      </c>
      <c r="F27" s="34">
        <v>43374</v>
      </c>
      <c r="G27" s="34">
        <v>43738</v>
      </c>
      <c r="H27" s="33" t="s">
        <v>1099</v>
      </c>
      <c r="I27" s="19" t="s">
        <v>1173</v>
      </c>
      <c r="J27" s="19"/>
      <c r="K27" s="56" t="s">
        <v>222</v>
      </c>
      <c r="L27" s="57" t="s">
        <v>223</v>
      </c>
      <c r="M27" s="56" t="s">
        <v>224</v>
      </c>
      <c r="N27" s="56"/>
      <c r="O27" s="56"/>
      <c r="P27" s="56"/>
      <c r="Q27" s="56"/>
      <c r="R27" s="56"/>
      <c r="S27" s="56"/>
      <c r="T27" s="56"/>
      <c r="U27" s="56"/>
      <c r="V27" s="56">
        <f t="shared" si="0"/>
        <v>0</v>
      </c>
      <c r="W27" s="56"/>
      <c r="X27" s="56">
        <v>12</v>
      </c>
      <c r="Y27" s="56">
        <v>9</v>
      </c>
      <c r="Z27" s="56"/>
      <c r="AA27" s="56"/>
      <c r="AB27" s="56"/>
      <c r="AC27" s="56"/>
      <c r="AD27" s="56"/>
      <c r="AE27" s="56"/>
      <c r="AF27" s="56">
        <f t="shared" si="1"/>
        <v>21</v>
      </c>
      <c r="AG27" s="56">
        <f t="shared" si="2"/>
        <v>12</v>
      </c>
      <c r="AH27" s="56">
        <f t="shared" si="3"/>
        <v>9</v>
      </c>
      <c r="AI27" s="56">
        <f t="shared" si="4"/>
        <v>0</v>
      </c>
      <c r="AJ27" s="56">
        <f t="shared" si="5"/>
        <v>0</v>
      </c>
      <c r="AK27" s="56">
        <f t="shared" si="6"/>
        <v>0</v>
      </c>
      <c r="AL27" s="56">
        <f t="shared" si="7"/>
        <v>0</v>
      </c>
      <c r="AM27" s="56">
        <f t="shared" si="8"/>
        <v>0</v>
      </c>
      <c r="AN27" s="56">
        <f t="shared" si="9"/>
        <v>0</v>
      </c>
      <c r="AO27" s="58">
        <f t="shared" si="10"/>
        <v>21</v>
      </c>
      <c r="AP27" s="69" t="s">
        <v>121</v>
      </c>
      <c r="AQ27" s="40">
        <f t="shared" si="11"/>
        <v>21</v>
      </c>
      <c r="AR27" s="40">
        <v>0</v>
      </c>
      <c r="AS27" s="31">
        <v>0</v>
      </c>
      <c r="AT27" s="31">
        <v>0</v>
      </c>
      <c r="AU27" s="31">
        <v>0</v>
      </c>
      <c r="AV27" s="39">
        <v>0</v>
      </c>
      <c r="AW27" s="31"/>
      <c r="AX27" s="31"/>
      <c r="AY27" s="31"/>
      <c r="AZ27" s="31"/>
      <c r="BA27" s="39"/>
      <c r="BB27" s="152">
        <f t="shared" si="12"/>
        <v>0</v>
      </c>
      <c r="BC27" s="43">
        <v>514411</v>
      </c>
      <c r="BD27" s="43">
        <v>171129</v>
      </c>
      <c r="BE27" t="s">
        <v>1458</v>
      </c>
      <c r="BF27"/>
      <c r="BI27" t="s">
        <v>1551</v>
      </c>
      <c r="BJ27" t="s">
        <v>1503</v>
      </c>
      <c r="BM27" t="s">
        <v>1545</v>
      </c>
      <c r="BN27" t="s">
        <v>1504</v>
      </c>
    </row>
    <row r="28" spans="1:66" x14ac:dyDescent="0.25">
      <c r="A28" s="56" t="s">
        <v>225</v>
      </c>
      <c r="B28" s="19" t="s">
        <v>38</v>
      </c>
      <c r="C28" s="56"/>
      <c r="D28" s="34">
        <v>43392</v>
      </c>
      <c r="E28" s="34">
        <v>44488</v>
      </c>
      <c r="F28" s="34">
        <v>43525</v>
      </c>
      <c r="G28" s="37">
        <v>43892</v>
      </c>
      <c r="H28" s="33" t="s">
        <v>1099</v>
      </c>
      <c r="I28" s="19" t="s">
        <v>1173</v>
      </c>
      <c r="J28" s="19"/>
      <c r="K28" s="56" t="s">
        <v>226</v>
      </c>
      <c r="L28" s="57" t="s">
        <v>227</v>
      </c>
      <c r="M28" s="56" t="s">
        <v>228</v>
      </c>
      <c r="N28" s="56"/>
      <c r="O28" s="56"/>
      <c r="P28" s="56"/>
      <c r="Q28" s="56">
        <v>1</v>
      </c>
      <c r="R28" s="56"/>
      <c r="S28" s="56"/>
      <c r="T28" s="56"/>
      <c r="U28" s="56"/>
      <c r="V28" s="56">
        <f t="shared" si="0"/>
        <v>1</v>
      </c>
      <c r="W28" s="56"/>
      <c r="X28" s="56">
        <v>2</v>
      </c>
      <c r="Y28" s="56">
        <v>2</v>
      </c>
      <c r="Z28" s="56"/>
      <c r="AA28" s="56"/>
      <c r="AB28" s="56"/>
      <c r="AC28" s="56"/>
      <c r="AD28" s="56"/>
      <c r="AE28" s="56"/>
      <c r="AF28" s="56">
        <f t="shared" si="1"/>
        <v>4</v>
      </c>
      <c r="AG28" s="56">
        <f t="shared" si="2"/>
        <v>2</v>
      </c>
      <c r="AH28" s="56">
        <f t="shared" si="3"/>
        <v>2</v>
      </c>
      <c r="AI28" s="56">
        <f t="shared" si="4"/>
        <v>0</v>
      </c>
      <c r="AJ28" s="56">
        <f t="shared" si="5"/>
        <v>-1</v>
      </c>
      <c r="AK28" s="56">
        <f t="shared" si="6"/>
        <v>0</v>
      </c>
      <c r="AL28" s="56">
        <f t="shared" si="7"/>
        <v>0</v>
      </c>
      <c r="AM28" s="56">
        <f t="shared" si="8"/>
        <v>0</v>
      </c>
      <c r="AN28" s="56">
        <f t="shared" si="9"/>
        <v>0</v>
      </c>
      <c r="AO28" s="58">
        <f t="shared" si="10"/>
        <v>3</v>
      </c>
      <c r="AP28" s="69"/>
      <c r="AQ28" s="40">
        <f t="shared" si="11"/>
        <v>3</v>
      </c>
      <c r="AR28" s="40">
        <v>0</v>
      </c>
      <c r="AS28" s="31">
        <v>0</v>
      </c>
      <c r="AT28" s="31">
        <v>0</v>
      </c>
      <c r="AU28" s="31">
        <v>0</v>
      </c>
      <c r="AV28" s="39">
        <v>0</v>
      </c>
      <c r="AW28" s="31"/>
      <c r="AX28" s="31"/>
      <c r="AY28" s="31"/>
      <c r="AZ28" s="31"/>
      <c r="BA28" s="39"/>
      <c r="BB28" s="152">
        <f t="shared" si="12"/>
        <v>0</v>
      </c>
      <c r="BC28" s="43">
        <v>516100</v>
      </c>
      <c r="BD28" s="43">
        <v>174435</v>
      </c>
      <c r="BE28" t="s">
        <v>1488</v>
      </c>
      <c r="BF28"/>
    </row>
    <row r="29" spans="1:66" x14ac:dyDescent="0.25">
      <c r="A29" s="56" t="s">
        <v>229</v>
      </c>
      <c r="B29" s="19" t="s">
        <v>38</v>
      </c>
      <c r="C29" s="56"/>
      <c r="D29" s="34">
        <v>42587</v>
      </c>
      <c r="E29" s="34">
        <v>43682</v>
      </c>
      <c r="F29" s="34">
        <v>42642</v>
      </c>
      <c r="G29" s="37">
        <v>43921</v>
      </c>
      <c r="H29" s="33" t="s">
        <v>1099</v>
      </c>
      <c r="I29" s="19" t="s">
        <v>1173</v>
      </c>
      <c r="J29" s="19"/>
      <c r="K29" s="56" t="s">
        <v>230</v>
      </c>
      <c r="L29" s="57" t="s">
        <v>231</v>
      </c>
      <c r="M29" s="56"/>
      <c r="N29" s="56"/>
      <c r="O29" s="56"/>
      <c r="P29" s="56"/>
      <c r="Q29" s="56">
        <v>2</v>
      </c>
      <c r="R29" s="56"/>
      <c r="S29" s="56"/>
      <c r="T29" s="56"/>
      <c r="U29" s="56"/>
      <c r="V29" s="56">
        <f t="shared" si="0"/>
        <v>2</v>
      </c>
      <c r="W29" s="56"/>
      <c r="X29" s="56"/>
      <c r="Y29" s="56"/>
      <c r="Z29" s="56"/>
      <c r="AA29" s="56">
        <v>1</v>
      </c>
      <c r="AB29" s="56"/>
      <c r="AC29" s="56"/>
      <c r="AD29" s="56"/>
      <c r="AE29" s="56"/>
      <c r="AF29" s="56">
        <f t="shared" si="1"/>
        <v>1</v>
      </c>
      <c r="AG29" s="56">
        <f t="shared" si="2"/>
        <v>0</v>
      </c>
      <c r="AH29" s="56">
        <f t="shared" si="3"/>
        <v>0</v>
      </c>
      <c r="AI29" s="56">
        <f t="shared" si="4"/>
        <v>0</v>
      </c>
      <c r="AJ29" s="56">
        <f t="shared" si="5"/>
        <v>-1</v>
      </c>
      <c r="AK29" s="56">
        <f t="shared" si="6"/>
        <v>0</v>
      </c>
      <c r="AL29" s="56">
        <f t="shared" si="7"/>
        <v>0</v>
      </c>
      <c r="AM29" s="56">
        <f t="shared" si="8"/>
        <v>0</v>
      </c>
      <c r="AN29" s="56">
        <f t="shared" si="9"/>
        <v>0</v>
      </c>
      <c r="AO29" s="58">
        <f t="shared" si="10"/>
        <v>-1</v>
      </c>
      <c r="AP29" s="69"/>
      <c r="AQ29" s="40">
        <f t="shared" si="11"/>
        <v>-1</v>
      </c>
      <c r="AR29" s="40">
        <v>0</v>
      </c>
      <c r="AS29" s="31">
        <v>0</v>
      </c>
      <c r="AT29" s="31">
        <v>0</v>
      </c>
      <c r="AU29" s="31">
        <v>0</v>
      </c>
      <c r="AV29" s="39">
        <v>0</v>
      </c>
      <c r="AW29" s="31"/>
      <c r="AX29" s="31"/>
      <c r="AY29" s="31"/>
      <c r="AZ29" s="31"/>
      <c r="BA29" s="39"/>
      <c r="BB29" s="152">
        <f t="shared" si="12"/>
        <v>0</v>
      </c>
      <c r="BC29" s="43">
        <v>516878</v>
      </c>
      <c r="BD29" s="43">
        <v>174968</v>
      </c>
      <c r="BE29" t="s">
        <v>1488</v>
      </c>
      <c r="BF29"/>
      <c r="BH29" t="s">
        <v>1404</v>
      </c>
      <c r="BM29" t="s">
        <v>1545</v>
      </c>
      <c r="BN29" t="s">
        <v>1505</v>
      </c>
    </row>
    <row r="30" spans="1:66" x14ac:dyDescent="0.25">
      <c r="A30" s="56" t="s">
        <v>239</v>
      </c>
      <c r="B30" s="19" t="s">
        <v>20</v>
      </c>
      <c r="C30" s="56"/>
      <c r="D30" s="34">
        <v>42704</v>
      </c>
      <c r="E30" s="34">
        <v>43799</v>
      </c>
      <c r="F30" s="34">
        <v>43215</v>
      </c>
      <c r="G30" s="37">
        <v>43921</v>
      </c>
      <c r="H30" s="33" t="s">
        <v>1099</v>
      </c>
      <c r="I30" s="19" t="s">
        <v>1173</v>
      </c>
      <c r="J30" s="19"/>
      <c r="K30" s="56" t="s">
        <v>240</v>
      </c>
      <c r="L30" s="57" t="s">
        <v>241</v>
      </c>
      <c r="M30" s="56"/>
      <c r="N30" s="56"/>
      <c r="O30" s="56"/>
      <c r="P30" s="56"/>
      <c r="Q30" s="56"/>
      <c r="R30" s="56"/>
      <c r="S30" s="56"/>
      <c r="T30" s="56"/>
      <c r="U30" s="56"/>
      <c r="V30" s="56">
        <f t="shared" si="0"/>
        <v>0</v>
      </c>
      <c r="W30" s="56"/>
      <c r="X30" s="56">
        <v>1</v>
      </c>
      <c r="Y30" s="56"/>
      <c r="Z30" s="56"/>
      <c r="AA30" s="56"/>
      <c r="AB30" s="56"/>
      <c r="AC30" s="56"/>
      <c r="AD30" s="56"/>
      <c r="AE30" s="56"/>
      <c r="AF30" s="56">
        <f t="shared" si="1"/>
        <v>1</v>
      </c>
      <c r="AG30" s="56">
        <f t="shared" si="2"/>
        <v>1</v>
      </c>
      <c r="AH30" s="56">
        <f t="shared" si="3"/>
        <v>0</v>
      </c>
      <c r="AI30" s="56">
        <f t="shared" si="4"/>
        <v>0</v>
      </c>
      <c r="AJ30" s="56">
        <f t="shared" si="5"/>
        <v>0</v>
      </c>
      <c r="AK30" s="56">
        <f t="shared" si="6"/>
        <v>0</v>
      </c>
      <c r="AL30" s="56">
        <f t="shared" si="7"/>
        <v>0</v>
      </c>
      <c r="AM30" s="56">
        <f t="shared" si="8"/>
        <v>0</v>
      </c>
      <c r="AN30" s="56">
        <f t="shared" si="9"/>
        <v>0</v>
      </c>
      <c r="AO30" s="58">
        <f t="shared" si="10"/>
        <v>1</v>
      </c>
      <c r="AP30" s="69"/>
      <c r="AQ30" s="40">
        <f t="shared" si="11"/>
        <v>1</v>
      </c>
      <c r="AR30" s="40">
        <v>0</v>
      </c>
      <c r="AS30" s="31">
        <v>0</v>
      </c>
      <c r="AT30" s="31">
        <v>0</v>
      </c>
      <c r="AU30" s="31">
        <v>0</v>
      </c>
      <c r="AV30" s="39">
        <v>0</v>
      </c>
      <c r="AW30" s="31"/>
      <c r="AX30" s="31"/>
      <c r="AY30" s="31"/>
      <c r="AZ30" s="31"/>
      <c r="BA30" s="39"/>
      <c r="BB30" s="152">
        <f t="shared" si="12"/>
        <v>0</v>
      </c>
      <c r="BC30" s="43">
        <v>518622</v>
      </c>
      <c r="BD30" s="43">
        <v>175641</v>
      </c>
      <c r="BE30" t="s">
        <v>1422</v>
      </c>
      <c r="BF30"/>
    </row>
    <row r="31" spans="1:66" x14ac:dyDescent="0.25">
      <c r="A31" s="56" t="s">
        <v>242</v>
      </c>
      <c r="B31" s="19" t="s">
        <v>20</v>
      </c>
      <c r="C31" s="56"/>
      <c r="D31" s="34">
        <v>42810</v>
      </c>
      <c r="E31" s="34">
        <v>43907</v>
      </c>
      <c r="F31" s="34">
        <v>43132</v>
      </c>
      <c r="G31" s="34">
        <v>43735</v>
      </c>
      <c r="H31" s="33" t="s">
        <v>1099</v>
      </c>
      <c r="I31" s="19" t="s">
        <v>1173</v>
      </c>
      <c r="J31" s="19"/>
      <c r="K31" s="56" t="s">
        <v>243</v>
      </c>
      <c r="L31" s="57" t="s">
        <v>244</v>
      </c>
      <c r="M31" s="56"/>
      <c r="N31" s="56"/>
      <c r="O31" s="56"/>
      <c r="P31" s="56"/>
      <c r="Q31" s="56">
        <v>1</v>
      </c>
      <c r="R31" s="56"/>
      <c r="S31" s="56"/>
      <c r="T31" s="56"/>
      <c r="U31" s="56"/>
      <c r="V31" s="56">
        <f t="shared" si="0"/>
        <v>1</v>
      </c>
      <c r="W31" s="56"/>
      <c r="X31" s="56"/>
      <c r="Y31" s="56"/>
      <c r="Z31" s="56"/>
      <c r="AA31" s="56"/>
      <c r="AB31" s="56"/>
      <c r="AC31" s="56">
        <v>1</v>
      </c>
      <c r="AD31" s="56"/>
      <c r="AE31" s="56"/>
      <c r="AF31" s="56">
        <f t="shared" si="1"/>
        <v>1</v>
      </c>
      <c r="AG31" s="56">
        <f t="shared" si="2"/>
        <v>0</v>
      </c>
      <c r="AH31" s="56">
        <f t="shared" si="3"/>
        <v>0</v>
      </c>
      <c r="AI31" s="56">
        <f t="shared" si="4"/>
        <v>0</v>
      </c>
      <c r="AJ31" s="56">
        <f t="shared" si="5"/>
        <v>-1</v>
      </c>
      <c r="AK31" s="56">
        <f t="shared" si="6"/>
        <v>0</v>
      </c>
      <c r="AL31" s="56">
        <f t="shared" si="7"/>
        <v>1</v>
      </c>
      <c r="AM31" s="56">
        <f t="shared" si="8"/>
        <v>0</v>
      </c>
      <c r="AN31" s="56">
        <f t="shared" si="9"/>
        <v>0</v>
      </c>
      <c r="AO31" s="58">
        <f t="shared" si="10"/>
        <v>0</v>
      </c>
      <c r="AP31" s="69"/>
      <c r="AQ31" s="40">
        <f t="shared" si="11"/>
        <v>0</v>
      </c>
      <c r="AR31" s="40">
        <v>0</v>
      </c>
      <c r="AS31" s="31">
        <v>0</v>
      </c>
      <c r="AT31" s="31">
        <v>0</v>
      </c>
      <c r="AU31" s="31">
        <v>0</v>
      </c>
      <c r="AV31" s="39">
        <v>0</v>
      </c>
      <c r="AW31" s="31"/>
      <c r="AX31" s="31"/>
      <c r="AY31" s="31"/>
      <c r="AZ31" s="31"/>
      <c r="BA31" s="39"/>
      <c r="BB31" s="152">
        <f t="shared" si="12"/>
        <v>0</v>
      </c>
      <c r="BC31" s="43">
        <v>516098</v>
      </c>
      <c r="BD31" s="43">
        <v>172295</v>
      </c>
      <c r="BE31" t="s">
        <v>1424</v>
      </c>
      <c r="BF31"/>
      <c r="BH31" t="s">
        <v>1404</v>
      </c>
    </row>
    <row r="32" spans="1:66" x14ac:dyDescent="0.25">
      <c r="A32" s="56" t="s">
        <v>264</v>
      </c>
      <c r="B32" s="19" t="s">
        <v>31</v>
      </c>
      <c r="C32" s="56" t="s">
        <v>1203</v>
      </c>
      <c r="D32" s="34">
        <v>42627</v>
      </c>
      <c r="E32" s="34">
        <v>43722</v>
      </c>
      <c r="F32" s="34">
        <v>43474</v>
      </c>
      <c r="G32" s="34">
        <v>43822</v>
      </c>
      <c r="H32" s="33" t="s">
        <v>1099</v>
      </c>
      <c r="I32" s="19" t="s">
        <v>1173</v>
      </c>
      <c r="J32" s="19"/>
      <c r="K32" s="56" t="s">
        <v>265</v>
      </c>
      <c r="L32" s="57" t="s">
        <v>266</v>
      </c>
      <c r="M32" s="56" t="s">
        <v>267</v>
      </c>
      <c r="N32" s="56"/>
      <c r="O32" s="56"/>
      <c r="P32" s="56"/>
      <c r="Q32" s="56"/>
      <c r="R32" s="56"/>
      <c r="S32" s="56"/>
      <c r="T32" s="56"/>
      <c r="U32" s="56"/>
      <c r="V32" s="56">
        <f t="shared" si="0"/>
        <v>0</v>
      </c>
      <c r="W32" s="56"/>
      <c r="X32" s="56">
        <v>1</v>
      </c>
      <c r="Y32" s="56">
        <v>1</v>
      </c>
      <c r="Z32" s="56"/>
      <c r="AA32" s="56"/>
      <c r="AB32" s="56"/>
      <c r="AC32" s="56"/>
      <c r="AD32" s="56"/>
      <c r="AE32" s="56"/>
      <c r="AF32" s="56">
        <f t="shared" si="1"/>
        <v>2</v>
      </c>
      <c r="AG32" s="56">
        <f t="shared" si="2"/>
        <v>1</v>
      </c>
      <c r="AH32" s="56">
        <f t="shared" si="3"/>
        <v>1</v>
      </c>
      <c r="AI32" s="56">
        <f t="shared" si="4"/>
        <v>0</v>
      </c>
      <c r="AJ32" s="56">
        <f t="shared" si="5"/>
        <v>0</v>
      </c>
      <c r="AK32" s="56">
        <f t="shared" si="6"/>
        <v>0</v>
      </c>
      <c r="AL32" s="56">
        <f t="shared" si="7"/>
        <v>0</v>
      </c>
      <c r="AM32" s="56">
        <f t="shared" si="8"/>
        <v>0</v>
      </c>
      <c r="AN32" s="56">
        <f t="shared" si="9"/>
        <v>0</v>
      </c>
      <c r="AO32" s="58">
        <f t="shared" si="10"/>
        <v>2</v>
      </c>
      <c r="AP32" s="69"/>
      <c r="AQ32" s="40">
        <f t="shared" si="11"/>
        <v>2</v>
      </c>
      <c r="AR32" s="40">
        <v>0</v>
      </c>
      <c r="AS32" s="31">
        <v>0</v>
      </c>
      <c r="AT32" s="31">
        <v>0</v>
      </c>
      <c r="AU32" s="31">
        <v>0</v>
      </c>
      <c r="AV32" s="39">
        <v>0</v>
      </c>
      <c r="AW32" s="31"/>
      <c r="AX32" s="31"/>
      <c r="AY32" s="31"/>
      <c r="AZ32" s="31"/>
      <c r="BA32" s="39"/>
      <c r="BB32" s="152">
        <f t="shared" si="12"/>
        <v>0</v>
      </c>
      <c r="BC32" s="43">
        <v>516167</v>
      </c>
      <c r="BD32" s="43">
        <v>173210</v>
      </c>
      <c r="BE32" t="s">
        <v>1426</v>
      </c>
      <c r="BF32"/>
      <c r="BG32" t="s">
        <v>1406</v>
      </c>
      <c r="BM32" t="s">
        <v>1545</v>
      </c>
      <c r="BN32" t="s">
        <v>1506</v>
      </c>
    </row>
    <row r="33" spans="1:66" x14ac:dyDescent="0.25">
      <c r="A33" s="56" t="s">
        <v>269</v>
      </c>
      <c r="B33" s="19" t="s">
        <v>31</v>
      </c>
      <c r="C33" s="56" t="s">
        <v>1203</v>
      </c>
      <c r="D33" s="34">
        <v>42643</v>
      </c>
      <c r="E33" s="34">
        <v>43738</v>
      </c>
      <c r="F33" s="34">
        <v>43557</v>
      </c>
      <c r="G33" s="34">
        <v>43872</v>
      </c>
      <c r="H33" s="33" t="s">
        <v>1099</v>
      </c>
      <c r="I33" s="19" t="s">
        <v>1173</v>
      </c>
      <c r="J33" s="19"/>
      <c r="K33" s="56" t="s">
        <v>270</v>
      </c>
      <c r="L33" s="57" t="s">
        <v>268</v>
      </c>
      <c r="M33" s="56" t="s">
        <v>142</v>
      </c>
      <c r="N33" s="56"/>
      <c r="O33" s="56"/>
      <c r="P33" s="56"/>
      <c r="Q33" s="56"/>
      <c r="R33" s="56"/>
      <c r="S33" s="56"/>
      <c r="T33" s="56"/>
      <c r="U33" s="56"/>
      <c r="V33" s="56">
        <f t="shared" si="0"/>
        <v>0</v>
      </c>
      <c r="W33" s="56"/>
      <c r="X33" s="56">
        <v>4</v>
      </c>
      <c r="Y33" s="56"/>
      <c r="Z33" s="56"/>
      <c r="AA33" s="56"/>
      <c r="AB33" s="56"/>
      <c r="AC33" s="56"/>
      <c r="AD33" s="56"/>
      <c r="AE33" s="56"/>
      <c r="AF33" s="56">
        <f t="shared" si="1"/>
        <v>4</v>
      </c>
      <c r="AG33" s="56">
        <f t="shared" si="2"/>
        <v>4</v>
      </c>
      <c r="AH33" s="56">
        <f t="shared" si="3"/>
        <v>0</v>
      </c>
      <c r="AI33" s="56">
        <f t="shared" si="4"/>
        <v>0</v>
      </c>
      <c r="AJ33" s="56">
        <f t="shared" si="5"/>
        <v>0</v>
      </c>
      <c r="AK33" s="56">
        <f t="shared" si="6"/>
        <v>0</v>
      </c>
      <c r="AL33" s="56">
        <f t="shared" si="7"/>
        <v>0</v>
      </c>
      <c r="AM33" s="56">
        <f t="shared" si="8"/>
        <v>0</v>
      </c>
      <c r="AN33" s="56">
        <f t="shared" si="9"/>
        <v>0</v>
      </c>
      <c r="AO33" s="58">
        <f t="shared" si="10"/>
        <v>4</v>
      </c>
      <c r="AP33" s="69"/>
      <c r="AQ33" s="40">
        <f t="shared" si="11"/>
        <v>4</v>
      </c>
      <c r="AR33" s="40">
        <v>0</v>
      </c>
      <c r="AS33" s="31">
        <v>0</v>
      </c>
      <c r="AT33" s="31">
        <v>0</v>
      </c>
      <c r="AU33" s="31">
        <v>0</v>
      </c>
      <c r="AV33" s="39">
        <v>0</v>
      </c>
      <c r="AW33" s="31"/>
      <c r="AX33" s="31"/>
      <c r="AY33" s="31"/>
      <c r="AZ33" s="31"/>
      <c r="BA33" s="39"/>
      <c r="BB33" s="152">
        <f t="shared" si="12"/>
        <v>0</v>
      </c>
      <c r="BC33" s="43">
        <v>514223</v>
      </c>
      <c r="BD33" s="43">
        <v>173584</v>
      </c>
      <c r="BE33" t="s">
        <v>1428</v>
      </c>
      <c r="BF33"/>
      <c r="BG33" t="s">
        <v>1428</v>
      </c>
    </row>
    <row r="34" spans="1:66" x14ac:dyDescent="0.25">
      <c r="A34" s="56" t="s">
        <v>271</v>
      </c>
      <c r="B34" s="19" t="s">
        <v>20</v>
      </c>
      <c r="C34" s="56"/>
      <c r="D34" s="34">
        <v>42930</v>
      </c>
      <c r="E34" s="34">
        <v>44135</v>
      </c>
      <c r="F34" s="34">
        <v>43374</v>
      </c>
      <c r="G34" s="34">
        <v>43851</v>
      </c>
      <c r="H34" s="33" t="s">
        <v>1099</v>
      </c>
      <c r="I34" s="19" t="s">
        <v>1173</v>
      </c>
      <c r="J34" s="19"/>
      <c r="K34" s="56" t="s">
        <v>272</v>
      </c>
      <c r="L34" s="57" t="s">
        <v>273</v>
      </c>
      <c r="M34" s="56" t="s">
        <v>274</v>
      </c>
      <c r="N34" s="56"/>
      <c r="O34" s="56"/>
      <c r="P34" s="56">
        <v>1</v>
      </c>
      <c r="Q34" s="56"/>
      <c r="R34" s="56"/>
      <c r="S34" s="56"/>
      <c r="T34" s="56"/>
      <c r="U34" s="56"/>
      <c r="V34" s="56">
        <f t="shared" ref="V34:V65" si="13">SUM(N34:U34)</f>
        <v>1</v>
      </c>
      <c r="W34" s="56"/>
      <c r="X34" s="56"/>
      <c r="Y34" s="56"/>
      <c r="Z34" s="56"/>
      <c r="AA34" s="56">
        <v>2</v>
      </c>
      <c r="AB34" s="56"/>
      <c r="AC34" s="56"/>
      <c r="AD34" s="56"/>
      <c r="AE34" s="56"/>
      <c r="AF34" s="56">
        <f t="shared" si="1"/>
        <v>2</v>
      </c>
      <c r="AG34" s="56">
        <f t="shared" si="2"/>
        <v>0</v>
      </c>
      <c r="AH34" s="56">
        <f t="shared" si="3"/>
        <v>0</v>
      </c>
      <c r="AI34" s="56">
        <f t="shared" si="4"/>
        <v>-1</v>
      </c>
      <c r="AJ34" s="56">
        <f t="shared" si="5"/>
        <v>2</v>
      </c>
      <c r="AK34" s="56">
        <f t="shared" si="6"/>
        <v>0</v>
      </c>
      <c r="AL34" s="56">
        <f t="shared" si="7"/>
        <v>0</v>
      </c>
      <c r="AM34" s="56">
        <f t="shared" si="8"/>
        <v>0</v>
      </c>
      <c r="AN34" s="56">
        <f t="shared" si="9"/>
        <v>0</v>
      </c>
      <c r="AO34" s="58">
        <f t="shared" si="10"/>
        <v>1</v>
      </c>
      <c r="AP34" s="69"/>
      <c r="AQ34" s="40">
        <f t="shared" si="11"/>
        <v>1</v>
      </c>
      <c r="AR34" s="40">
        <v>0</v>
      </c>
      <c r="AS34" s="31">
        <v>0</v>
      </c>
      <c r="AT34" s="31">
        <v>0</v>
      </c>
      <c r="AU34" s="31">
        <v>0</v>
      </c>
      <c r="AV34" s="39">
        <v>0</v>
      </c>
      <c r="AW34" s="31"/>
      <c r="AX34" s="31"/>
      <c r="AY34" s="31"/>
      <c r="AZ34" s="31"/>
      <c r="BA34" s="39"/>
      <c r="BB34" s="152">
        <f t="shared" si="12"/>
        <v>0</v>
      </c>
      <c r="BC34" s="43">
        <v>512538</v>
      </c>
      <c r="BD34" s="43">
        <v>173280</v>
      </c>
      <c r="BE34" t="s">
        <v>1419</v>
      </c>
      <c r="BF34"/>
    </row>
    <row r="35" spans="1:66" x14ac:dyDescent="0.25">
      <c r="A35" s="56" t="s">
        <v>281</v>
      </c>
      <c r="B35" s="19" t="s">
        <v>38</v>
      </c>
      <c r="C35" s="56"/>
      <c r="D35" s="34">
        <v>43038</v>
      </c>
      <c r="E35" s="34">
        <v>44134</v>
      </c>
      <c r="F35" s="37">
        <v>43840</v>
      </c>
      <c r="G35" s="37">
        <v>43647</v>
      </c>
      <c r="H35" s="33" t="s">
        <v>1099</v>
      </c>
      <c r="I35" s="19" t="s">
        <v>1173</v>
      </c>
      <c r="J35" s="19"/>
      <c r="K35" s="56" t="s">
        <v>282</v>
      </c>
      <c r="L35" s="57" t="s">
        <v>283</v>
      </c>
      <c r="M35" s="56" t="s">
        <v>235</v>
      </c>
      <c r="N35" s="56"/>
      <c r="O35" s="56"/>
      <c r="P35" s="56">
        <v>2</v>
      </c>
      <c r="Q35" s="56"/>
      <c r="R35" s="56"/>
      <c r="S35" s="56"/>
      <c r="T35" s="56"/>
      <c r="U35" s="56"/>
      <c r="V35" s="56">
        <f t="shared" si="13"/>
        <v>2</v>
      </c>
      <c r="W35" s="56"/>
      <c r="X35" s="56"/>
      <c r="Y35" s="56"/>
      <c r="Z35" s="56"/>
      <c r="AA35" s="56">
        <v>1</v>
      </c>
      <c r="AB35" s="56"/>
      <c r="AC35" s="56"/>
      <c r="AD35" s="56"/>
      <c r="AE35" s="56"/>
      <c r="AF35" s="56">
        <f t="shared" si="1"/>
        <v>1</v>
      </c>
      <c r="AG35" s="56">
        <f t="shared" si="2"/>
        <v>0</v>
      </c>
      <c r="AH35" s="56">
        <f t="shared" si="3"/>
        <v>0</v>
      </c>
      <c r="AI35" s="56">
        <f t="shared" si="4"/>
        <v>-2</v>
      </c>
      <c r="AJ35" s="56">
        <f t="shared" si="5"/>
        <v>1</v>
      </c>
      <c r="AK35" s="56">
        <f t="shared" si="6"/>
        <v>0</v>
      </c>
      <c r="AL35" s="56">
        <f t="shared" si="7"/>
        <v>0</v>
      </c>
      <c r="AM35" s="56">
        <f t="shared" si="8"/>
        <v>0</v>
      </c>
      <c r="AN35" s="56">
        <f t="shared" si="9"/>
        <v>0</v>
      </c>
      <c r="AO35" s="58">
        <f t="shared" si="10"/>
        <v>-1</v>
      </c>
      <c r="AP35" s="69"/>
      <c r="AQ35" s="40">
        <f t="shared" si="11"/>
        <v>-1</v>
      </c>
      <c r="AR35" s="40">
        <v>0</v>
      </c>
      <c r="AS35" s="31">
        <v>0</v>
      </c>
      <c r="AT35" s="31">
        <v>0</v>
      </c>
      <c r="AU35" s="31">
        <v>0</v>
      </c>
      <c r="AV35" s="39">
        <v>0</v>
      </c>
      <c r="AW35" s="31"/>
      <c r="AX35" s="31"/>
      <c r="AY35" s="31"/>
      <c r="AZ35" s="31"/>
      <c r="BA35" s="39"/>
      <c r="BB35" s="152">
        <f t="shared" si="12"/>
        <v>0</v>
      </c>
      <c r="BC35" s="43">
        <v>514501</v>
      </c>
      <c r="BD35" s="43">
        <v>170687</v>
      </c>
      <c r="BE35" t="s">
        <v>1458</v>
      </c>
      <c r="BF35"/>
      <c r="BM35" t="s">
        <v>1545</v>
      </c>
      <c r="BN35" t="s">
        <v>1497</v>
      </c>
    </row>
    <row r="36" spans="1:66" x14ac:dyDescent="0.25">
      <c r="A36" s="56" t="s">
        <v>288</v>
      </c>
      <c r="B36" s="19" t="s">
        <v>48</v>
      </c>
      <c r="C36" s="56"/>
      <c r="D36" s="34">
        <v>43214</v>
      </c>
      <c r="E36" s="34">
        <v>44310</v>
      </c>
      <c r="F36" s="34">
        <v>43215</v>
      </c>
      <c r="G36" s="37">
        <v>43920</v>
      </c>
      <c r="H36" s="33" t="s">
        <v>1099</v>
      </c>
      <c r="I36" s="19" t="s">
        <v>1173</v>
      </c>
      <c r="J36" s="19"/>
      <c r="K36" s="56" t="s">
        <v>289</v>
      </c>
      <c r="L36" s="57" t="s">
        <v>1311</v>
      </c>
      <c r="M36" s="56" t="s">
        <v>290</v>
      </c>
      <c r="N36" s="56"/>
      <c r="O36" s="56"/>
      <c r="P36" s="56"/>
      <c r="Q36" s="56"/>
      <c r="R36" s="56"/>
      <c r="S36" s="56"/>
      <c r="T36" s="56"/>
      <c r="U36" s="56"/>
      <c r="V36" s="56">
        <f t="shared" si="13"/>
        <v>0</v>
      </c>
      <c r="W36" s="56"/>
      <c r="X36" s="19">
        <v>0</v>
      </c>
      <c r="Y36" s="19">
        <v>11</v>
      </c>
      <c r="Z36" s="19">
        <v>0</v>
      </c>
      <c r="AA36" s="19">
        <v>0</v>
      </c>
      <c r="AB36" s="19"/>
      <c r="AC36" s="19"/>
      <c r="AD36" s="19"/>
      <c r="AE36" s="19"/>
      <c r="AF36" s="56">
        <f t="shared" si="1"/>
        <v>11</v>
      </c>
      <c r="AG36" s="56">
        <f t="shared" si="2"/>
        <v>0</v>
      </c>
      <c r="AH36" s="56">
        <f t="shared" si="3"/>
        <v>11</v>
      </c>
      <c r="AI36" s="56">
        <f t="shared" si="4"/>
        <v>0</v>
      </c>
      <c r="AJ36" s="56">
        <f t="shared" si="5"/>
        <v>0</v>
      </c>
      <c r="AK36" s="56">
        <f t="shared" si="6"/>
        <v>0</v>
      </c>
      <c r="AL36" s="56">
        <f t="shared" si="7"/>
        <v>0</v>
      </c>
      <c r="AM36" s="56">
        <f t="shared" si="8"/>
        <v>0</v>
      </c>
      <c r="AN36" s="56">
        <f t="shared" si="9"/>
        <v>0</v>
      </c>
      <c r="AO36" s="58">
        <f t="shared" si="10"/>
        <v>11</v>
      </c>
      <c r="AP36" s="69" t="s">
        <v>121</v>
      </c>
      <c r="AQ36" s="40">
        <f t="shared" si="11"/>
        <v>11</v>
      </c>
      <c r="AR36" s="40">
        <v>0</v>
      </c>
      <c r="AS36" s="31">
        <v>0</v>
      </c>
      <c r="AT36" s="31">
        <v>0</v>
      </c>
      <c r="AU36" s="31">
        <v>0</v>
      </c>
      <c r="AV36" s="39">
        <v>0</v>
      </c>
      <c r="AW36" s="31"/>
      <c r="AX36" s="31"/>
      <c r="AY36" s="31"/>
      <c r="AZ36" s="31"/>
      <c r="BA36" s="39"/>
      <c r="BB36" s="152">
        <f t="shared" si="12"/>
        <v>0</v>
      </c>
      <c r="BC36" s="43">
        <v>517752</v>
      </c>
      <c r="BD36" s="43">
        <v>172177</v>
      </c>
      <c r="BE36" t="s">
        <v>1487</v>
      </c>
      <c r="BF36"/>
      <c r="BM36" t="s">
        <v>1545</v>
      </c>
      <c r="BN36" t="s">
        <v>1507</v>
      </c>
    </row>
    <row r="37" spans="1:66" ht="15" customHeight="1" x14ac:dyDescent="0.25">
      <c r="A37" s="56" t="s">
        <v>295</v>
      </c>
      <c r="B37" s="19" t="s">
        <v>48</v>
      </c>
      <c r="C37" s="56"/>
      <c r="D37" s="34">
        <v>42690</v>
      </c>
      <c r="E37" s="34">
        <v>44242</v>
      </c>
      <c r="F37" s="37">
        <v>43273</v>
      </c>
      <c r="G37" s="34">
        <v>43708</v>
      </c>
      <c r="H37" s="33" t="s">
        <v>1099</v>
      </c>
      <c r="I37" s="19" t="s">
        <v>1173</v>
      </c>
      <c r="J37" s="19"/>
      <c r="K37" s="56" t="s">
        <v>296</v>
      </c>
      <c r="L37" s="57" t="s">
        <v>297</v>
      </c>
      <c r="M37" s="56" t="s">
        <v>298</v>
      </c>
      <c r="N37" s="56"/>
      <c r="O37" s="56"/>
      <c r="P37" s="56">
        <v>1</v>
      </c>
      <c r="Q37" s="56"/>
      <c r="R37" s="56"/>
      <c r="S37" s="56"/>
      <c r="T37" s="56"/>
      <c r="U37" s="56"/>
      <c r="V37" s="56">
        <f t="shared" si="13"/>
        <v>1</v>
      </c>
      <c r="W37" s="56"/>
      <c r="X37" s="56"/>
      <c r="Y37" s="56">
        <v>2</v>
      </c>
      <c r="Z37" s="56"/>
      <c r="AA37" s="56"/>
      <c r="AB37" s="56"/>
      <c r="AC37" s="56"/>
      <c r="AD37" s="56"/>
      <c r="AE37" s="56"/>
      <c r="AF37" s="56">
        <f t="shared" si="1"/>
        <v>2</v>
      </c>
      <c r="AG37" s="56">
        <f t="shared" si="2"/>
        <v>0</v>
      </c>
      <c r="AH37" s="56">
        <f t="shared" si="3"/>
        <v>2</v>
      </c>
      <c r="AI37" s="56">
        <f t="shared" si="4"/>
        <v>-1</v>
      </c>
      <c r="AJ37" s="56">
        <f t="shared" si="5"/>
        <v>0</v>
      </c>
      <c r="AK37" s="56">
        <f t="shared" si="6"/>
        <v>0</v>
      </c>
      <c r="AL37" s="56">
        <f t="shared" si="7"/>
        <v>0</v>
      </c>
      <c r="AM37" s="56">
        <f t="shared" si="8"/>
        <v>0</v>
      </c>
      <c r="AN37" s="56">
        <f t="shared" si="9"/>
        <v>0</v>
      </c>
      <c r="AO37" s="58">
        <f t="shared" si="10"/>
        <v>1</v>
      </c>
      <c r="AP37" s="69"/>
      <c r="AQ37" s="40">
        <f t="shared" si="11"/>
        <v>1</v>
      </c>
      <c r="AR37" s="40">
        <v>0</v>
      </c>
      <c r="AS37" s="31">
        <v>0</v>
      </c>
      <c r="AT37" s="31">
        <v>0</v>
      </c>
      <c r="AU37" s="31">
        <v>0</v>
      </c>
      <c r="AV37" s="39">
        <v>0</v>
      </c>
      <c r="AW37" s="31"/>
      <c r="AX37" s="31"/>
      <c r="AY37" s="31"/>
      <c r="AZ37" s="31"/>
      <c r="BA37" s="39"/>
      <c r="BB37" s="152">
        <f t="shared" si="12"/>
        <v>0</v>
      </c>
      <c r="BC37" s="43">
        <v>515385</v>
      </c>
      <c r="BD37" s="43">
        <v>174051</v>
      </c>
      <c r="BE37" t="s">
        <v>1488</v>
      </c>
      <c r="BF37"/>
    </row>
    <row r="38" spans="1:66" ht="15" customHeight="1" x14ac:dyDescent="0.25">
      <c r="A38" s="56" t="s">
        <v>307</v>
      </c>
      <c r="B38" s="19" t="s">
        <v>20</v>
      </c>
      <c r="C38" s="56"/>
      <c r="D38" s="34">
        <v>42935</v>
      </c>
      <c r="E38" s="34">
        <v>44031</v>
      </c>
      <c r="F38" s="19"/>
      <c r="G38" s="34">
        <v>43782</v>
      </c>
      <c r="H38" s="33" t="s">
        <v>1099</v>
      </c>
      <c r="I38" s="19" t="s">
        <v>1173</v>
      </c>
      <c r="J38" s="19"/>
      <c r="K38" s="56" t="s">
        <v>308</v>
      </c>
      <c r="L38" s="57" t="s">
        <v>309</v>
      </c>
      <c r="M38" s="56" t="s">
        <v>310</v>
      </c>
      <c r="N38" s="56"/>
      <c r="O38" s="56"/>
      <c r="P38" s="56"/>
      <c r="Q38" s="56">
        <v>1</v>
      </c>
      <c r="R38" s="56"/>
      <c r="S38" s="56"/>
      <c r="T38" s="56"/>
      <c r="U38" s="56"/>
      <c r="V38" s="56">
        <f t="shared" si="13"/>
        <v>1</v>
      </c>
      <c r="W38" s="56"/>
      <c r="X38" s="56"/>
      <c r="Y38" s="56"/>
      <c r="Z38" s="56"/>
      <c r="AA38" s="56">
        <v>1</v>
      </c>
      <c r="AB38" s="56"/>
      <c r="AC38" s="56"/>
      <c r="AD38" s="56"/>
      <c r="AE38" s="56"/>
      <c r="AF38" s="56">
        <f t="shared" si="1"/>
        <v>1</v>
      </c>
      <c r="AG38" s="56">
        <f t="shared" si="2"/>
        <v>0</v>
      </c>
      <c r="AH38" s="56">
        <f t="shared" si="3"/>
        <v>0</v>
      </c>
      <c r="AI38" s="56">
        <f t="shared" si="4"/>
        <v>0</v>
      </c>
      <c r="AJ38" s="56">
        <f t="shared" si="5"/>
        <v>0</v>
      </c>
      <c r="AK38" s="56">
        <f t="shared" si="6"/>
        <v>0</v>
      </c>
      <c r="AL38" s="56">
        <f t="shared" si="7"/>
        <v>0</v>
      </c>
      <c r="AM38" s="56">
        <f t="shared" si="8"/>
        <v>0</v>
      </c>
      <c r="AN38" s="56">
        <f t="shared" si="9"/>
        <v>0</v>
      </c>
      <c r="AO38" s="58">
        <f t="shared" si="10"/>
        <v>0</v>
      </c>
      <c r="AP38" s="69"/>
      <c r="AQ38" s="40">
        <f t="shared" si="11"/>
        <v>0</v>
      </c>
      <c r="AR38" s="40">
        <v>0</v>
      </c>
      <c r="AS38" s="31">
        <v>0</v>
      </c>
      <c r="AT38" s="31">
        <v>0</v>
      </c>
      <c r="AU38" s="31">
        <v>0</v>
      </c>
      <c r="AV38" s="39">
        <v>0</v>
      </c>
      <c r="AW38" s="31"/>
      <c r="AX38" s="31"/>
      <c r="AY38" s="31"/>
      <c r="AZ38" s="31"/>
      <c r="BA38" s="39"/>
      <c r="BB38" s="152">
        <f t="shared" si="12"/>
        <v>0</v>
      </c>
      <c r="BC38" s="43">
        <v>513706</v>
      </c>
      <c r="BD38" s="43">
        <v>170624</v>
      </c>
      <c r="BE38" t="s">
        <v>1416</v>
      </c>
      <c r="BF38"/>
    </row>
    <row r="39" spans="1:66" ht="15" customHeight="1" x14ac:dyDescent="0.25">
      <c r="A39" s="56" t="s">
        <v>339</v>
      </c>
      <c r="B39" s="19" t="s">
        <v>31</v>
      </c>
      <c r="C39" s="56" t="s">
        <v>1203</v>
      </c>
      <c r="D39" s="34">
        <v>42804</v>
      </c>
      <c r="E39" s="34">
        <v>43900</v>
      </c>
      <c r="F39" s="34">
        <v>43374</v>
      </c>
      <c r="G39" s="34">
        <v>43579</v>
      </c>
      <c r="H39" s="33" t="s">
        <v>1099</v>
      </c>
      <c r="I39" s="19" t="s">
        <v>1173</v>
      </c>
      <c r="J39" s="19"/>
      <c r="K39" s="56" t="s">
        <v>1105</v>
      </c>
      <c r="L39" s="57" t="s">
        <v>340</v>
      </c>
      <c r="M39" s="56" t="s">
        <v>341</v>
      </c>
      <c r="N39" s="56"/>
      <c r="O39" s="56"/>
      <c r="P39" s="56"/>
      <c r="Q39" s="56"/>
      <c r="R39" s="56"/>
      <c r="S39" s="56"/>
      <c r="T39" s="56"/>
      <c r="U39" s="56"/>
      <c r="V39" s="56">
        <f t="shared" si="13"/>
        <v>0</v>
      </c>
      <c r="W39" s="56"/>
      <c r="X39" s="56">
        <v>1</v>
      </c>
      <c r="Y39" s="56"/>
      <c r="Z39" s="56"/>
      <c r="AA39" s="56"/>
      <c r="AB39" s="56"/>
      <c r="AC39" s="56"/>
      <c r="AD39" s="56"/>
      <c r="AE39" s="56"/>
      <c r="AF39" s="56">
        <f t="shared" si="1"/>
        <v>1</v>
      </c>
      <c r="AG39" s="56">
        <f t="shared" si="2"/>
        <v>1</v>
      </c>
      <c r="AH39" s="56">
        <f t="shared" si="3"/>
        <v>0</v>
      </c>
      <c r="AI39" s="56">
        <f t="shared" si="4"/>
        <v>0</v>
      </c>
      <c r="AJ39" s="56">
        <f t="shared" si="5"/>
        <v>0</v>
      </c>
      <c r="AK39" s="56">
        <f t="shared" si="6"/>
        <v>0</v>
      </c>
      <c r="AL39" s="56">
        <f t="shared" si="7"/>
        <v>0</v>
      </c>
      <c r="AM39" s="56">
        <f t="shared" si="8"/>
        <v>0</v>
      </c>
      <c r="AN39" s="56">
        <f t="shared" si="9"/>
        <v>0</v>
      </c>
      <c r="AO39" s="58">
        <f t="shared" si="10"/>
        <v>1</v>
      </c>
      <c r="AP39" s="69"/>
      <c r="AQ39" s="40">
        <f t="shared" si="11"/>
        <v>1</v>
      </c>
      <c r="AR39" s="40">
        <v>0</v>
      </c>
      <c r="AS39" s="31">
        <v>0</v>
      </c>
      <c r="AT39" s="31">
        <v>0</v>
      </c>
      <c r="AU39" s="31">
        <v>0</v>
      </c>
      <c r="AV39" s="39">
        <v>0</v>
      </c>
      <c r="AW39" s="31"/>
      <c r="AX39" s="31"/>
      <c r="AY39" s="31"/>
      <c r="AZ39" s="31"/>
      <c r="BA39" s="39"/>
      <c r="BB39" s="152">
        <f t="shared" si="12"/>
        <v>0</v>
      </c>
      <c r="BC39" s="43">
        <v>516177</v>
      </c>
      <c r="BD39" s="43">
        <v>173221</v>
      </c>
      <c r="BE39" t="s">
        <v>1426</v>
      </c>
      <c r="BF39"/>
      <c r="BG39" t="s">
        <v>1406</v>
      </c>
      <c r="BM39" t="s">
        <v>1545</v>
      </c>
      <c r="BN39" t="s">
        <v>1506</v>
      </c>
    </row>
    <row r="40" spans="1:66" x14ac:dyDescent="0.25">
      <c r="A40" s="56" t="s">
        <v>362</v>
      </c>
      <c r="B40" s="19" t="s">
        <v>20</v>
      </c>
      <c r="C40" s="56"/>
      <c r="D40" s="34">
        <v>42891</v>
      </c>
      <c r="E40" s="34">
        <v>43987</v>
      </c>
      <c r="F40" s="34">
        <v>43497</v>
      </c>
      <c r="G40" s="34">
        <v>43913</v>
      </c>
      <c r="H40" s="33" t="s">
        <v>1099</v>
      </c>
      <c r="I40" s="19" t="s">
        <v>1215</v>
      </c>
      <c r="J40" s="19"/>
      <c r="K40" s="56" t="s">
        <v>363</v>
      </c>
      <c r="L40" s="57" t="s">
        <v>1607</v>
      </c>
      <c r="M40" s="56" t="s">
        <v>364</v>
      </c>
      <c r="N40" s="56"/>
      <c r="O40" s="56"/>
      <c r="P40" s="56"/>
      <c r="Q40" s="56"/>
      <c r="R40" s="56"/>
      <c r="S40" s="56"/>
      <c r="T40" s="56"/>
      <c r="U40" s="56"/>
      <c r="V40" s="56">
        <f t="shared" si="13"/>
        <v>0</v>
      </c>
      <c r="W40" s="56" t="s">
        <v>121</v>
      </c>
      <c r="X40" s="56">
        <v>3</v>
      </c>
      <c r="Y40" s="56">
        <v>1</v>
      </c>
      <c r="Z40" s="56"/>
      <c r="AA40" s="56"/>
      <c r="AB40" s="56"/>
      <c r="AC40" s="56"/>
      <c r="AD40" s="56"/>
      <c r="AE40" s="56">
        <v>4</v>
      </c>
      <c r="AF40" s="56">
        <f t="shared" si="1"/>
        <v>4</v>
      </c>
      <c r="AG40" s="56">
        <f t="shared" si="2"/>
        <v>3</v>
      </c>
      <c r="AH40" s="56">
        <f t="shared" si="3"/>
        <v>1</v>
      </c>
      <c r="AI40" s="56">
        <f t="shared" si="4"/>
        <v>0</v>
      </c>
      <c r="AJ40" s="56">
        <f t="shared" si="5"/>
        <v>0</v>
      </c>
      <c r="AK40" s="56">
        <f t="shared" si="6"/>
        <v>0</v>
      </c>
      <c r="AL40" s="56">
        <f t="shared" si="7"/>
        <v>0</v>
      </c>
      <c r="AM40" s="56">
        <f t="shared" si="8"/>
        <v>0</v>
      </c>
      <c r="AN40" s="56">
        <f t="shared" si="9"/>
        <v>0</v>
      </c>
      <c r="AO40" s="58">
        <f t="shared" si="10"/>
        <v>4</v>
      </c>
      <c r="AP40" s="69"/>
      <c r="AQ40" s="40">
        <v>0</v>
      </c>
      <c r="AR40" s="40">
        <v>0</v>
      </c>
      <c r="AS40" s="31">
        <v>0</v>
      </c>
      <c r="AT40" s="31">
        <v>0</v>
      </c>
      <c r="AU40" s="31">
        <v>0</v>
      </c>
      <c r="AV40" s="39">
        <v>0</v>
      </c>
      <c r="AW40" s="31"/>
      <c r="AX40" s="31"/>
      <c r="AY40" s="31"/>
      <c r="AZ40" s="31"/>
      <c r="BA40" s="39"/>
      <c r="BB40" s="152">
        <f t="shared" si="12"/>
        <v>0</v>
      </c>
      <c r="BC40" s="43">
        <v>517438</v>
      </c>
      <c r="BD40" s="43">
        <v>171815</v>
      </c>
      <c r="BE40" t="s">
        <v>1487</v>
      </c>
      <c r="BF40"/>
    </row>
    <row r="41" spans="1:66" ht="15" customHeight="1" x14ac:dyDescent="0.25">
      <c r="A41" s="56" t="s">
        <v>365</v>
      </c>
      <c r="B41" s="19" t="s">
        <v>38</v>
      </c>
      <c r="C41" s="56"/>
      <c r="D41" s="34">
        <v>42930</v>
      </c>
      <c r="E41" s="34">
        <v>44026</v>
      </c>
      <c r="F41" s="19"/>
      <c r="G41" s="37">
        <v>43921</v>
      </c>
      <c r="H41" s="33" t="s">
        <v>1099</v>
      </c>
      <c r="I41" s="19" t="s">
        <v>1173</v>
      </c>
      <c r="J41" s="19"/>
      <c r="K41" s="56" t="s">
        <v>366</v>
      </c>
      <c r="L41" s="57" t="s">
        <v>367</v>
      </c>
      <c r="M41" s="56" t="s">
        <v>368</v>
      </c>
      <c r="N41" s="56">
        <v>3</v>
      </c>
      <c r="O41" s="56"/>
      <c r="P41" s="56"/>
      <c r="Q41" s="56"/>
      <c r="R41" s="56">
        <v>1</v>
      </c>
      <c r="S41" s="56"/>
      <c r="T41" s="56"/>
      <c r="U41" s="56"/>
      <c r="V41" s="56">
        <f t="shared" si="13"/>
        <v>4</v>
      </c>
      <c r="W41" s="56"/>
      <c r="X41" s="56"/>
      <c r="Y41" s="56"/>
      <c r="Z41" s="56"/>
      <c r="AA41" s="56"/>
      <c r="AB41" s="56"/>
      <c r="AC41" s="56"/>
      <c r="AD41" s="56">
        <v>1</v>
      </c>
      <c r="AE41" s="56"/>
      <c r="AF41" s="56">
        <f t="shared" si="1"/>
        <v>1</v>
      </c>
      <c r="AG41" s="56">
        <f t="shared" si="2"/>
        <v>-3</v>
      </c>
      <c r="AH41" s="56">
        <f t="shared" si="3"/>
        <v>0</v>
      </c>
      <c r="AI41" s="56">
        <f t="shared" si="4"/>
        <v>0</v>
      </c>
      <c r="AJ41" s="56">
        <f t="shared" si="5"/>
        <v>0</v>
      </c>
      <c r="AK41" s="56">
        <f t="shared" si="6"/>
        <v>-1</v>
      </c>
      <c r="AL41" s="56">
        <f t="shared" si="7"/>
        <v>0</v>
      </c>
      <c r="AM41" s="56">
        <f t="shared" si="8"/>
        <v>1</v>
      </c>
      <c r="AN41" s="56">
        <f t="shared" si="9"/>
        <v>0</v>
      </c>
      <c r="AO41" s="58">
        <f t="shared" si="10"/>
        <v>-3</v>
      </c>
      <c r="AP41" s="69"/>
      <c r="AQ41" s="40">
        <f t="shared" ref="AQ41:AQ84" si="14">AO41</f>
        <v>-3</v>
      </c>
      <c r="AR41" s="40">
        <v>0</v>
      </c>
      <c r="AS41" s="31">
        <v>0</v>
      </c>
      <c r="AT41" s="31">
        <v>0</v>
      </c>
      <c r="AU41" s="31">
        <v>0</v>
      </c>
      <c r="AV41" s="39">
        <v>0</v>
      </c>
      <c r="AW41" s="31"/>
      <c r="AX41" s="31"/>
      <c r="AY41" s="31"/>
      <c r="AZ41" s="31"/>
      <c r="BA41" s="39"/>
      <c r="BB41" s="152">
        <f t="shared" si="12"/>
        <v>0</v>
      </c>
      <c r="BC41" s="43">
        <v>522418</v>
      </c>
      <c r="BD41" s="43">
        <v>176934</v>
      </c>
      <c r="BE41" t="s">
        <v>1414</v>
      </c>
      <c r="BF41"/>
      <c r="BM41" t="s">
        <v>1545</v>
      </c>
      <c r="BN41" t="s">
        <v>1508</v>
      </c>
    </row>
    <row r="42" spans="1:66" x14ac:dyDescent="0.25">
      <c r="A42" s="56" t="s">
        <v>373</v>
      </c>
      <c r="B42" s="19" t="s">
        <v>38</v>
      </c>
      <c r="C42" s="56"/>
      <c r="D42" s="34">
        <v>42991</v>
      </c>
      <c r="E42" s="34">
        <v>44087</v>
      </c>
      <c r="F42" s="37">
        <v>43769</v>
      </c>
      <c r="G42" s="34">
        <v>43908</v>
      </c>
      <c r="H42" s="33" t="s">
        <v>1099</v>
      </c>
      <c r="I42" s="19" t="s">
        <v>1173</v>
      </c>
      <c r="J42" s="19"/>
      <c r="K42" s="56" t="s">
        <v>374</v>
      </c>
      <c r="L42" s="57" t="s">
        <v>375</v>
      </c>
      <c r="M42" s="56" t="s">
        <v>376</v>
      </c>
      <c r="N42" s="56"/>
      <c r="O42" s="56"/>
      <c r="P42" s="56">
        <v>1</v>
      </c>
      <c r="Q42" s="56"/>
      <c r="R42" s="56"/>
      <c r="S42" s="56"/>
      <c r="T42" s="56"/>
      <c r="U42" s="56"/>
      <c r="V42" s="56">
        <f t="shared" si="13"/>
        <v>1</v>
      </c>
      <c r="W42" s="56"/>
      <c r="X42" s="56">
        <v>1</v>
      </c>
      <c r="Y42" s="56">
        <v>1</v>
      </c>
      <c r="Z42" s="56"/>
      <c r="AA42" s="56"/>
      <c r="AB42" s="56"/>
      <c r="AC42" s="56"/>
      <c r="AD42" s="56"/>
      <c r="AE42" s="56"/>
      <c r="AF42" s="56">
        <f t="shared" si="1"/>
        <v>2</v>
      </c>
      <c r="AG42" s="56">
        <f t="shared" si="2"/>
        <v>1</v>
      </c>
      <c r="AH42" s="56">
        <f t="shared" si="3"/>
        <v>1</v>
      </c>
      <c r="AI42" s="56">
        <f t="shared" si="4"/>
        <v>-1</v>
      </c>
      <c r="AJ42" s="56">
        <f t="shared" si="5"/>
        <v>0</v>
      </c>
      <c r="AK42" s="56">
        <f t="shared" si="6"/>
        <v>0</v>
      </c>
      <c r="AL42" s="56">
        <f t="shared" si="7"/>
        <v>0</v>
      </c>
      <c r="AM42" s="56">
        <f t="shared" si="8"/>
        <v>0</v>
      </c>
      <c r="AN42" s="56">
        <f t="shared" si="9"/>
        <v>0</v>
      </c>
      <c r="AO42" s="58">
        <f t="shared" si="10"/>
        <v>1</v>
      </c>
      <c r="AP42" s="69"/>
      <c r="AQ42" s="40">
        <f t="shared" si="14"/>
        <v>1</v>
      </c>
      <c r="AR42" s="40">
        <v>0</v>
      </c>
      <c r="AS42" s="31">
        <v>0</v>
      </c>
      <c r="AT42" s="31">
        <v>0</v>
      </c>
      <c r="AU42" s="31">
        <v>0</v>
      </c>
      <c r="AV42" s="39">
        <v>0</v>
      </c>
      <c r="AW42" s="31"/>
      <c r="AX42" s="31"/>
      <c r="AY42" s="31"/>
      <c r="AZ42" s="31"/>
      <c r="BA42" s="39"/>
      <c r="BB42" s="152">
        <f t="shared" si="12"/>
        <v>0</v>
      </c>
      <c r="BC42" s="43">
        <v>520325</v>
      </c>
      <c r="BD42" s="43">
        <v>175316</v>
      </c>
      <c r="BE42" t="s">
        <v>1402</v>
      </c>
      <c r="BF42"/>
      <c r="BG42" t="s">
        <v>1402</v>
      </c>
    </row>
    <row r="43" spans="1:66" x14ac:dyDescent="0.25">
      <c r="A43" s="56" t="s">
        <v>383</v>
      </c>
      <c r="B43" s="19" t="s">
        <v>20</v>
      </c>
      <c r="C43" s="56"/>
      <c r="D43" s="34">
        <v>42992</v>
      </c>
      <c r="E43" s="34">
        <v>44088</v>
      </c>
      <c r="F43" s="34">
        <v>43479</v>
      </c>
      <c r="G43" s="34">
        <v>43881</v>
      </c>
      <c r="H43" s="33" t="s">
        <v>1099</v>
      </c>
      <c r="I43" s="19" t="s">
        <v>1173</v>
      </c>
      <c r="J43" s="19"/>
      <c r="K43" s="56" t="s">
        <v>384</v>
      </c>
      <c r="L43" s="57" t="s">
        <v>385</v>
      </c>
      <c r="M43" s="56" t="s">
        <v>386</v>
      </c>
      <c r="N43" s="56"/>
      <c r="O43" s="56"/>
      <c r="P43" s="56"/>
      <c r="Q43" s="56"/>
      <c r="R43" s="56"/>
      <c r="S43" s="56"/>
      <c r="T43" s="56"/>
      <c r="U43" s="56"/>
      <c r="V43" s="56">
        <f t="shared" si="13"/>
        <v>0</v>
      </c>
      <c r="W43" s="56"/>
      <c r="X43" s="56">
        <v>2</v>
      </c>
      <c r="Y43" s="56">
        <v>4</v>
      </c>
      <c r="Z43" s="56"/>
      <c r="AA43" s="56"/>
      <c r="AB43" s="56"/>
      <c r="AC43" s="56"/>
      <c r="AD43" s="56"/>
      <c r="AE43" s="56"/>
      <c r="AF43" s="56">
        <f t="shared" si="1"/>
        <v>6</v>
      </c>
      <c r="AG43" s="56">
        <f t="shared" si="2"/>
        <v>2</v>
      </c>
      <c r="AH43" s="56">
        <f t="shared" si="3"/>
        <v>4</v>
      </c>
      <c r="AI43" s="56">
        <f t="shared" si="4"/>
        <v>0</v>
      </c>
      <c r="AJ43" s="56">
        <f t="shared" si="5"/>
        <v>0</v>
      </c>
      <c r="AK43" s="56">
        <f t="shared" si="6"/>
        <v>0</v>
      </c>
      <c r="AL43" s="56">
        <f t="shared" si="7"/>
        <v>0</v>
      </c>
      <c r="AM43" s="56">
        <f t="shared" si="8"/>
        <v>0</v>
      </c>
      <c r="AN43" s="56">
        <f t="shared" si="9"/>
        <v>0</v>
      </c>
      <c r="AO43" s="58">
        <f t="shared" si="10"/>
        <v>6</v>
      </c>
      <c r="AP43" s="69"/>
      <c r="AQ43" s="40">
        <f t="shared" si="14"/>
        <v>6</v>
      </c>
      <c r="AR43" s="40">
        <v>0</v>
      </c>
      <c r="AS43" s="31">
        <v>0</v>
      </c>
      <c r="AT43" s="31">
        <v>0</v>
      </c>
      <c r="AU43" s="31">
        <v>0</v>
      </c>
      <c r="AV43" s="39">
        <v>0</v>
      </c>
      <c r="AW43" s="31"/>
      <c r="AX43" s="31"/>
      <c r="AY43" s="31"/>
      <c r="AZ43" s="31"/>
      <c r="BA43" s="39"/>
      <c r="BB43" s="152">
        <f t="shared" si="12"/>
        <v>0</v>
      </c>
      <c r="BC43" s="43">
        <v>522302</v>
      </c>
      <c r="BD43" s="43">
        <v>176537</v>
      </c>
      <c r="BE43" t="s">
        <v>1414</v>
      </c>
      <c r="BF43"/>
      <c r="BI43" t="s">
        <v>1551</v>
      </c>
      <c r="BJ43" t="s">
        <v>1509</v>
      </c>
    </row>
    <row r="44" spans="1:66" x14ac:dyDescent="0.25">
      <c r="A44" s="56" t="s">
        <v>390</v>
      </c>
      <c r="B44" s="19" t="s">
        <v>20</v>
      </c>
      <c r="C44" s="56"/>
      <c r="D44" s="34">
        <v>43032</v>
      </c>
      <c r="E44" s="34">
        <v>44128</v>
      </c>
      <c r="F44" s="34">
        <v>43374</v>
      </c>
      <c r="G44" s="34">
        <v>43787</v>
      </c>
      <c r="H44" s="33" t="s">
        <v>1099</v>
      </c>
      <c r="I44" s="19" t="s">
        <v>1173</v>
      </c>
      <c r="J44" s="19"/>
      <c r="K44" s="56" t="s">
        <v>391</v>
      </c>
      <c r="L44" s="57" t="s">
        <v>392</v>
      </c>
      <c r="M44" s="56" t="s">
        <v>393</v>
      </c>
      <c r="N44" s="56"/>
      <c r="O44" s="56">
        <v>1</v>
      </c>
      <c r="P44" s="56"/>
      <c r="Q44" s="56"/>
      <c r="R44" s="56"/>
      <c r="S44" s="56"/>
      <c r="T44" s="56"/>
      <c r="U44" s="56"/>
      <c r="V44" s="56">
        <f t="shared" si="13"/>
        <v>1</v>
      </c>
      <c r="W44" s="56"/>
      <c r="X44" s="56"/>
      <c r="Y44" s="56">
        <v>3</v>
      </c>
      <c r="Z44" s="56"/>
      <c r="AA44" s="56"/>
      <c r="AB44" s="56"/>
      <c r="AC44" s="56"/>
      <c r="AD44" s="56"/>
      <c r="AE44" s="56"/>
      <c r="AF44" s="56">
        <f t="shared" si="1"/>
        <v>3</v>
      </c>
      <c r="AG44" s="56">
        <f t="shared" si="2"/>
        <v>0</v>
      </c>
      <c r="AH44" s="56">
        <f t="shared" si="3"/>
        <v>2</v>
      </c>
      <c r="AI44" s="56">
        <f t="shared" si="4"/>
        <v>0</v>
      </c>
      <c r="AJ44" s="56">
        <f t="shared" si="5"/>
        <v>0</v>
      </c>
      <c r="AK44" s="56">
        <f t="shared" si="6"/>
        <v>0</v>
      </c>
      <c r="AL44" s="56">
        <f t="shared" si="7"/>
        <v>0</v>
      </c>
      <c r="AM44" s="56">
        <f t="shared" si="8"/>
        <v>0</v>
      </c>
      <c r="AN44" s="56">
        <f t="shared" si="9"/>
        <v>0</v>
      </c>
      <c r="AO44" s="58">
        <f t="shared" si="10"/>
        <v>2</v>
      </c>
      <c r="AP44" s="69"/>
      <c r="AQ44" s="40">
        <f t="shared" si="14"/>
        <v>2</v>
      </c>
      <c r="AR44" s="40">
        <v>0</v>
      </c>
      <c r="AS44" s="31">
        <v>0</v>
      </c>
      <c r="AT44" s="31">
        <v>0</v>
      </c>
      <c r="AU44" s="31">
        <v>0</v>
      </c>
      <c r="AV44" s="39">
        <v>0</v>
      </c>
      <c r="AW44" s="31"/>
      <c r="AX44" s="31"/>
      <c r="AY44" s="31"/>
      <c r="AZ44" s="31"/>
      <c r="BA44" s="39"/>
      <c r="BB44" s="152">
        <f t="shared" si="12"/>
        <v>0</v>
      </c>
      <c r="BC44" s="43">
        <v>518953</v>
      </c>
      <c r="BD44" s="43">
        <v>176997</v>
      </c>
      <c r="BE44" t="s">
        <v>1420</v>
      </c>
      <c r="BF44"/>
      <c r="BM44" t="s">
        <v>1545</v>
      </c>
      <c r="BN44" t="s">
        <v>1510</v>
      </c>
    </row>
    <row r="45" spans="1:66" x14ac:dyDescent="0.25">
      <c r="A45" s="56" t="s">
        <v>398</v>
      </c>
      <c r="B45" s="19" t="s">
        <v>20</v>
      </c>
      <c r="C45" s="56"/>
      <c r="D45" s="34">
        <v>43013</v>
      </c>
      <c r="E45" s="34">
        <v>43078</v>
      </c>
      <c r="F45" s="34">
        <v>43013</v>
      </c>
      <c r="G45" s="34">
        <v>43696</v>
      </c>
      <c r="H45" s="33" t="s">
        <v>1099</v>
      </c>
      <c r="I45" s="25" t="s">
        <v>1215</v>
      </c>
      <c r="J45" s="25"/>
      <c r="K45" s="19" t="s">
        <v>399</v>
      </c>
      <c r="L45" s="46" t="s">
        <v>1115</v>
      </c>
      <c r="M45" s="56" t="s">
        <v>129</v>
      </c>
      <c r="N45" s="56"/>
      <c r="O45" s="56"/>
      <c r="P45" s="56"/>
      <c r="Q45" s="56"/>
      <c r="R45" s="56"/>
      <c r="S45" s="56"/>
      <c r="T45" s="56"/>
      <c r="U45" s="56"/>
      <c r="V45" s="56">
        <f t="shared" si="13"/>
        <v>0</v>
      </c>
      <c r="W45" s="56" t="s">
        <v>121</v>
      </c>
      <c r="X45" s="19">
        <v>4</v>
      </c>
      <c r="Y45" s="19">
        <v>11</v>
      </c>
      <c r="Z45" s="19"/>
      <c r="AA45" s="19"/>
      <c r="AB45" s="2"/>
      <c r="AC45" s="2"/>
      <c r="AD45" s="2"/>
      <c r="AE45" s="19">
        <v>15</v>
      </c>
      <c r="AF45" s="56">
        <f t="shared" si="1"/>
        <v>15</v>
      </c>
      <c r="AG45" s="56">
        <f t="shared" si="2"/>
        <v>4</v>
      </c>
      <c r="AH45" s="56">
        <f t="shared" si="3"/>
        <v>11</v>
      </c>
      <c r="AI45" s="56">
        <f t="shared" si="4"/>
        <v>0</v>
      </c>
      <c r="AJ45" s="56">
        <f t="shared" si="5"/>
        <v>0</v>
      </c>
      <c r="AK45" s="56">
        <f t="shared" si="6"/>
        <v>0</v>
      </c>
      <c r="AL45" s="56">
        <f t="shared" si="7"/>
        <v>0</v>
      </c>
      <c r="AM45" s="56">
        <f t="shared" si="8"/>
        <v>0</v>
      </c>
      <c r="AN45" s="56">
        <f t="shared" si="9"/>
        <v>0</v>
      </c>
      <c r="AO45" s="58">
        <f t="shared" si="10"/>
        <v>15</v>
      </c>
      <c r="AP45" s="69" t="s">
        <v>121</v>
      </c>
      <c r="AQ45" s="40">
        <f t="shared" si="14"/>
        <v>15</v>
      </c>
      <c r="AR45" s="40">
        <v>0</v>
      </c>
      <c r="AS45" s="31">
        <v>0</v>
      </c>
      <c r="AT45" s="31">
        <v>0</v>
      </c>
      <c r="AU45" s="31">
        <v>0</v>
      </c>
      <c r="AV45" s="39">
        <v>0</v>
      </c>
      <c r="AW45" s="31"/>
      <c r="AX45" s="31"/>
      <c r="AY45" s="31"/>
      <c r="AZ45" s="31"/>
      <c r="BA45" s="39"/>
      <c r="BB45" s="152">
        <f t="shared" si="12"/>
        <v>0</v>
      </c>
      <c r="BC45" s="43">
        <v>516802</v>
      </c>
      <c r="BD45" s="43">
        <v>171333</v>
      </c>
      <c r="BE45" t="s">
        <v>1405</v>
      </c>
      <c r="BF45"/>
      <c r="BH45" t="s">
        <v>1404</v>
      </c>
    </row>
    <row r="46" spans="1:66" x14ac:dyDescent="0.25">
      <c r="A46" s="56" t="s">
        <v>398</v>
      </c>
      <c r="B46" s="19" t="s">
        <v>20</v>
      </c>
      <c r="C46" s="56"/>
      <c r="D46" s="34">
        <v>43013</v>
      </c>
      <c r="E46" s="34">
        <v>43078</v>
      </c>
      <c r="F46" s="34">
        <v>43013</v>
      </c>
      <c r="G46" s="34">
        <v>43805</v>
      </c>
      <c r="H46" s="33" t="s">
        <v>1099</v>
      </c>
      <c r="I46" s="19" t="s">
        <v>1173</v>
      </c>
      <c r="J46" s="19"/>
      <c r="K46" s="19" t="s">
        <v>399</v>
      </c>
      <c r="L46" s="46" t="s">
        <v>1109</v>
      </c>
      <c r="M46" s="56" t="s">
        <v>129</v>
      </c>
      <c r="N46" s="56"/>
      <c r="O46" s="56"/>
      <c r="P46" s="56"/>
      <c r="Q46" s="56"/>
      <c r="R46" s="56"/>
      <c r="S46" s="56"/>
      <c r="T46" s="56"/>
      <c r="U46" s="56"/>
      <c r="V46" s="56">
        <f t="shared" si="13"/>
        <v>0</v>
      </c>
      <c r="W46" s="56"/>
      <c r="X46" s="19">
        <v>15</v>
      </c>
      <c r="Y46" s="19">
        <v>55</v>
      </c>
      <c r="Z46" s="19">
        <v>23</v>
      </c>
      <c r="AA46" s="19">
        <v>0</v>
      </c>
      <c r="AB46" s="2"/>
      <c r="AC46" s="2"/>
      <c r="AD46" s="2"/>
      <c r="AE46" s="2"/>
      <c r="AF46" s="56">
        <f t="shared" si="1"/>
        <v>93</v>
      </c>
      <c r="AG46" s="56">
        <f t="shared" si="2"/>
        <v>15</v>
      </c>
      <c r="AH46" s="56">
        <f t="shared" si="3"/>
        <v>55</v>
      </c>
      <c r="AI46" s="56">
        <f t="shared" si="4"/>
        <v>23</v>
      </c>
      <c r="AJ46" s="56">
        <f t="shared" si="5"/>
        <v>0</v>
      </c>
      <c r="AK46" s="56">
        <f t="shared" si="6"/>
        <v>0</v>
      </c>
      <c r="AL46" s="56">
        <f t="shared" si="7"/>
        <v>0</v>
      </c>
      <c r="AM46" s="56">
        <f t="shared" si="8"/>
        <v>0</v>
      </c>
      <c r="AN46" s="56">
        <f t="shared" si="9"/>
        <v>0</v>
      </c>
      <c r="AO46" s="58">
        <f t="shared" si="10"/>
        <v>93</v>
      </c>
      <c r="AP46" s="69" t="s">
        <v>121</v>
      </c>
      <c r="AQ46" s="40">
        <f t="shared" si="14"/>
        <v>93</v>
      </c>
      <c r="AR46" s="40">
        <v>0</v>
      </c>
      <c r="AS46" s="31">
        <v>0</v>
      </c>
      <c r="AT46" s="31">
        <v>0</v>
      </c>
      <c r="AU46" s="31">
        <v>0</v>
      </c>
      <c r="AV46" s="39">
        <v>0</v>
      </c>
      <c r="AW46" s="31"/>
      <c r="AX46" s="31"/>
      <c r="AY46" s="31"/>
      <c r="AZ46" s="31"/>
      <c r="BA46" s="39"/>
      <c r="BB46" s="152">
        <f t="shared" si="12"/>
        <v>0</v>
      </c>
      <c r="BC46" s="43">
        <v>516802</v>
      </c>
      <c r="BD46" s="43">
        <v>171333</v>
      </c>
      <c r="BE46" t="s">
        <v>1405</v>
      </c>
      <c r="BF46"/>
      <c r="BH46" t="s">
        <v>1404</v>
      </c>
    </row>
    <row r="47" spans="1:66" x14ac:dyDescent="0.25">
      <c r="A47" s="56" t="s">
        <v>398</v>
      </c>
      <c r="B47" s="19" t="s">
        <v>20</v>
      </c>
      <c r="C47" s="56"/>
      <c r="D47" s="34">
        <v>43013</v>
      </c>
      <c r="E47" s="34">
        <v>43078</v>
      </c>
      <c r="F47" s="34">
        <v>43013</v>
      </c>
      <c r="G47" s="34">
        <v>43581</v>
      </c>
      <c r="H47" s="33" t="s">
        <v>1099</v>
      </c>
      <c r="I47" s="19" t="s">
        <v>1173</v>
      </c>
      <c r="J47" s="19"/>
      <c r="K47" s="19" t="s">
        <v>399</v>
      </c>
      <c r="L47" s="46" t="s">
        <v>1108</v>
      </c>
      <c r="M47" s="56" t="s">
        <v>129</v>
      </c>
      <c r="N47" s="56"/>
      <c r="O47" s="56"/>
      <c r="P47" s="56"/>
      <c r="Q47" s="56"/>
      <c r="R47" s="56"/>
      <c r="S47" s="56"/>
      <c r="T47" s="56"/>
      <c r="U47" s="56"/>
      <c r="V47" s="56">
        <f t="shared" si="13"/>
        <v>0</v>
      </c>
      <c r="W47" s="56"/>
      <c r="X47" s="19">
        <v>8</v>
      </c>
      <c r="Y47" s="19">
        <v>10</v>
      </c>
      <c r="Z47" s="19">
        <v>29</v>
      </c>
      <c r="AA47" s="19"/>
      <c r="AB47" s="2"/>
      <c r="AC47" s="2"/>
      <c r="AD47" s="2"/>
      <c r="AE47" s="2"/>
      <c r="AF47" s="56">
        <f t="shared" si="1"/>
        <v>47</v>
      </c>
      <c r="AG47" s="56">
        <f t="shared" si="2"/>
        <v>8</v>
      </c>
      <c r="AH47" s="56">
        <f t="shared" si="3"/>
        <v>10</v>
      </c>
      <c r="AI47" s="56">
        <f t="shared" si="4"/>
        <v>29</v>
      </c>
      <c r="AJ47" s="56">
        <f t="shared" si="5"/>
        <v>0</v>
      </c>
      <c r="AK47" s="56">
        <f t="shared" si="6"/>
        <v>0</v>
      </c>
      <c r="AL47" s="56">
        <f t="shared" si="7"/>
        <v>0</v>
      </c>
      <c r="AM47" s="56">
        <f t="shared" si="8"/>
        <v>0</v>
      </c>
      <c r="AN47" s="56">
        <f t="shared" si="9"/>
        <v>0</v>
      </c>
      <c r="AO47" s="58">
        <f t="shared" si="10"/>
        <v>47</v>
      </c>
      <c r="AP47" s="69" t="s">
        <v>121</v>
      </c>
      <c r="AQ47" s="40">
        <f t="shared" si="14"/>
        <v>47</v>
      </c>
      <c r="AR47" s="40">
        <v>0</v>
      </c>
      <c r="AS47" s="31">
        <v>0</v>
      </c>
      <c r="AT47" s="31">
        <v>0</v>
      </c>
      <c r="AU47" s="31">
        <v>0</v>
      </c>
      <c r="AV47" s="39">
        <v>0</v>
      </c>
      <c r="AW47" s="31"/>
      <c r="AX47" s="31"/>
      <c r="AY47" s="31"/>
      <c r="AZ47" s="31"/>
      <c r="BA47" s="39"/>
      <c r="BB47" s="152">
        <f t="shared" si="12"/>
        <v>0</v>
      </c>
      <c r="BC47" s="43">
        <v>516802</v>
      </c>
      <c r="BD47" s="43">
        <v>171333</v>
      </c>
      <c r="BE47" t="s">
        <v>1405</v>
      </c>
      <c r="BF47"/>
      <c r="BH47" t="s">
        <v>1404</v>
      </c>
    </row>
    <row r="48" spans="1:66" x14ac:dyDescent="0.25">
      <c r="A48" s="56" t="s">
        <v>412</v>
      </c>
      <c r="B48" s="19" t="s">
        <v>31</v>
      </c>
      <c r="C48" s="56"/>
      <c r="D48" s="34">
        <v>43017</v>
      </c>
      <c r="E48" s="34">
        <v>44289</v>
      </c>
      <c r="F48" s="34">
        <v>43713</v>
      </c>
      <c r="G48" s="34">
        <v>43767</v>
      </c>
      <c r="H48" s="33" t="s">
        <v>1099</v>
      </c>
      <c r="I48" s="19" t="s">
        <v>1173</v>
      </c>
      <c r="J48" s="19"/>
      <c r="K48" s="56" t="s">
        <v>413</v>
      </c>
      <c r="L48" s="57" t="s">
        <v>414</v>
      </c>
      <c r="M48" s="56" t="s">
        <v>415</v>
      </c>
      <c r="N48" s="56"/>
      <c r="O48" s="56"/>
      <c r="P48" s="56"/>
      <c r="Q48" s="56"/>
      <c r="R48" s="56"/>
      <c r="S48" s="56"/>
      <c r="T48" s="56"/>
      <c r="U48" s="56"/>
      <c r="V48" s="56">
        <f t="shared" si="13"/>
        <v>0</v>
      </c>
      <c r="W48" s="56"/>
      <c r="X48" s="56">
        <v>1</v>
      </c>
      <c r="Y48" s="56"/>
      <c r="Z48" s="56"/>
      <c r="AA48" s="56"/>
      <c r="AB48" s="56"/>
      <c r="AC48" s="56"/>
      <c r="AD48" s="56"/>
      <c r="AE48" s="56"/>
      <c r="AF48" s="56">
        <f t="shared" si="1"/>
        <v>1</v>
      </c>
      <c r="AG48" s="56">
        <f t="shared" si="2"/>
        <v>1</v>
      </c>
      <c r="AH48" s="56">
        <f t="shared" si="3"/>
        <v>0</v>
      </c>
      <c r="AI48" s="56">
        <f t="shared" si="4"/>
        <v>0</v>
      </c>
      <c r="AJ48" s="56">
        <f t="shared" si="5"/>
        <v>0</v>
      </c>
      <c r="AK48" s="56">
        <f t="shared" si="6"/>
        <v>0</v>
      </c>
      <c r="AL48" s="56">
        <f t="shared" si="7"/>
        <v>0</v>
      </c>
      <c r="AM48" s="56">
        <f t="shared" si="8"/>
        <v>0</v>
      </c>
      <c r="AN48" s="56">
        <f t="shared" si="9"/>
        <v>0</v>
      </c>
      <c r="AO48" s="58">
        <f t="shared" si="10"/>
        <v>1</v>
      </c>
      <c r="AP48" s="69"/>
      <c r="AQ48" s="40">
        <f t="shared" si="14"/>
        <v>1</v>
      </c>
      <c r="AR48" s="40">
        <v>0</v>
      </c>
      <c r="AS48" s="31">
        <v>0</v>
      </c>
      <c r="AT48" s="31">
        <v>0</v>
      </c>
      <c r="AU48" s="31">
        <v>0</v>
      </c>
      <c r="AV48" s="39">
        <v>0</v>
      </c>
      <c r="AW48" s="31"/>
      <c r="AX48" s="31"/>
      <c r="AY48" s="31"/>
      <c r="AZ48" s="31"/>
      <c r="BA48" s="39"/>
      <c r="BB48" s="152">
        <f t="shared" si="12"/>
        <v>0</v>
      </c>
      <c r="BC48" s="43">
        <v>518053</v>
      </c>
      <c r="BD48" s="43">
        <v>174903</v>
      </c>
      <c r="BE48" t="s">
        <v>1423</v>
      </c>
      <c r="BF48"/>
      <c r="BG48" t="s">
        <v>1403</v>
      </c>
      <c r="BM48" t="s">
        <v>1545</v>
      </c>
      <c r="BN48" t="s">
        <v>1511</v>
      </c>
    </row>
    <row r="49" spans="1:66" ht="15" customHeight="1" x14ac:dyDescent="0.25">
      <c r="A49" s="56" t="s">
        <v>436</v>
      </c>
      <c r="B49" s="19" t="s">
        <v>38</v>
      </c>
      <c r="C49" s="56"/>
      <c r="D49" s="34">
        <v>43153</v>
      </c>
      <c r="E49" s="34">
        <v>44249</v>
      </c>
      <c r="F49" s="34">
        <v>43525</v>
      </c>
      <c r="G49" s="34">
        <v>43915</v>
      </c>
      <c r="H49" s="33" t="s">
        <v>1099</v>
      </c>
      <c r="I49" s="19" t="s">
        <v>1173</v>
      </c>
      <c r="J49" s="19"/>
      <c r="K49" s="56" t="s">
        <v>437</v>
      </c>
      <c r="L49" s="57" t="s">
        <v>438</v>
      </c>
      <c r="M49" s="56" t="s">
        <v>439</v>
      </c>
      <c r="N49" s="56">
        <v>2</v>
      </c>
      <c r="O49" s="56">
        <v>1</v>
      </c>
      <c r="P49" s="56"/>
      <c r="Q49" s="56"/>
      <c r="R49" s="56"/>
      <c r="S49" s="56"/>
      <c r="T49" s="56"/>
      <c r="U49" s="56"/>
      <c r="V49" s="56">
        <f t="shared" si="13"/>
        <v>3</v>
      </c>
      <c r="W49" s="56"/>
      <c r="X49" s="56"/>
      <c r="Y49" s="56"/>
      <c r="Z49" s="56"/>
      <c r="AA49" s="56"/>
      <c r="AB49" s="56">
        <v>1</v>
      </c>
      <c r="AC49" s="56"/>
      <c r="AD49" s="56"/>
      <c r="AE49" s="56"/>
      <c r="AF49" s="56">
        <f t="shared" si="1"/>
        <v>1</v>
      </c>
      <c r="AG49" s="56">
        <f t="shared" si="2"/>
        <v>-2</v>
      </c>
      <c r="AH49" s="56">
        <f t="shared" si="3"/>
        <v>-1</v>
      </c>
      <c r="AI49" s="56">
        <f t="shared" si="4"/>
        <v>0</v>
      </c>
      <c r="AJ49" s="56">
        <f t="shared" si="5"/>
        <v>0</v>
      </c>
      <c r="AK49" s="56">
        <f t="shared" si="6"/>
        <v>1</v>
      </c>
      <c r="AL49" s="56">
        <f t="shared" si="7"/>
        <v>0</v>
      </c>
      <c r="AM49" s="56">
        <f t="shared" si="8"/>
        <v>0</v>
      </c>
      <c r="AN49" s="56">
        <f t="shared" si="9"/>
        <v>0</v>
      </c>
      <c r="AO49" s="58">
        <f t="shared" si="10"/>
        <v>-2</v>
      </c>
      <c r="AP49" s="69"/>
      <c r="AQ49" s="40">
        <f t="shared" si="14"/>
        <v>-2</v>
      </c>
      <c r="AR49" s="40">
        <v>0</v>
      </c>
      <c r="AS49" s="31">
        <v>0</v>
      </c>
      <c r="AT49" s="31">
        <v>0</v>
      </c>
      <c r="AU49" s="31">
        <v>0</v>
      </c>
      <c r="AV49" s="39">
        <v>0</v>
      </c>
      <c r="AW49" s="31"/>
      <c r="AX49" s="31"/>
      <c r="AY49" s="31"/>
      <c r="AZ49" s="31"/>
      <c r="BA49" s="39"/>
      <c r="BB49" s="152">
        <f t="shared" si="12"/>
        <v>0</v>
      </c>
      <c r="BC49" s="43">
        <v>518396</v>
      </c>
      <c r="BD49" s="43">
        <v>174632</v>
      </c>
      <c r="BE49" t="s">
        <v>1423</v>
      </c>
      <c r="BF49"/>
      <c r="BM49" t="s">
        <v>1545</v>
      </c>
      <c r="BN49" t="s">
        <v>1493</v>
      </c>
    </row>
    <row r="50" spans="1:66" x14ac:dyDescent="0.25">
      <c r="A50" s="56" t="s">
        <v>460</v>
      </c>
      <c r="B50" s="19" t="s">
        <v>20</v>
      </c>
      <c r="C50" s="56"/>
      <c r="D50" s="34">
        <v>43168</v>
      </c>
      <c r="E50" s="34">
        <v>44264</v>
      </c>
      <c r="F50" s="34">
        <v>42492</v>
      </c>
      <c r="G50" s="37">
        <v>43921</v>
      </c>
      <c r="H50" s="33" t="s">
        <v>1099</v>
      </c>
      <c r="I50" s="19" t="s">
        <v>1173</v>
      </c>
      <c r="J50" s="19"/>
      <c r="K50" s="56" t="s">
        <v>461</v>
      </c>
      <c r="L50" s="57" t="s">
        <v>462</v>
      </c>
      <c r="M50" s="56" t="s">
        <v>463</v>
      </c>
      <c r="N50" s="56"/>
      <c r="O50" s="56"/>
      <c r="P50" s="56"/>
      <c r="Q50" s="56"/>
      <c r="R50" s="56"/>
      <c r="S50" s="56"/>
      <c r="T50" s="56"/>
      <c r="U50" s="56"/>
      <c r="V50" s="56">
        <f t="shared" si="13"/>
        <v>0</v>
      </c>
      <c r="W50" s="56"/>
      <c r="X50" s="56"/>
      <c r="Y50" s="56"/>
      <c r="Z50" s="56">
        <v>4</v>
      </c>
      <c r="AA50" s="56">
        <v>6</v>
      </c>
      <c r="AB50" s="56"/>
      <c r="AC50" s="56"/>
      <c r="AD50" s="56"/>
      <c r="AE50" s="56"/>
      <c r="AF50" s="56">
        <f t="shared" si="1"/>
        <v>10</v>
      </c>
      <c r="AG50" s="56">
        <f t="shared" si="2"/>
        <v>0</v>
      </c>
      <c r="AH50" s="56">
        <f t="shared" si="3"/>
        <v>0</v>
      </c>
      <c r="AI50" s="56">
        <f t="shared" si="4"/>
        <v>4</v>
      </c>
      <c r="AJ50" s="56">
        <f t="shared" si="5"/>
        <v>6</v>
      </c>
      <c r="AK50" s="56">
        <f t="shared" si="6"/>
        <v>0</v>
      </c>
      <c r="AL50" s="56">
        <f t="shared" si="7"/>
        <v>0</v>
      </c>
      <c r="AM50" s="56">
        <f t="shared" si="8"/>
        <v>0</v>
      </c>
      <c r="AN50" s="56">
        <f t="shared" si="9"/>
        <v>0</v>
      </c>
      <c r="AO50" s="58">
        <f t="shared" si="10"/>
        <v>10</v>
      </c>
      <c r="AP50" s="69" t="s">
        <v>121</v>
      </c>
      <c r="AQ50" s="40">
        <f t="shared" si="14"/>
        <v>10</v>
      </c>
      <c r="AR50" s="40">
        <v>0</v>
      </c>
      <c r="AS50" s="31">
        <v>0</v>
      </c>
      <c r="AT50" s="31">
        <v>0</v>
      </c>
      <c r="AU50" s="31">
        <v>0</v>
      </c>
      <c r="AV50" s="39">
        <v>0</v>
      </c>
      <c r="AW50" s="31"/>
      <c r="AX50" s="31"/>
      <c r="AY50" s="31"/>
      <c r="AZ50" s="31"/>
      <c r="BA50" s="39"/>
      <c r="BB50" s="152">
        <f t="shared" si="12"/>
        <v>0</v>
      </c>
      <c r="BC50" s="43">
        <v>518534</v>
      </c>
      <c r="BD50" s="43">
        <v>171320</v>
      </c>
      <c r="BE50" t="s">
        <v>1487</v>
      </c>
      <c r="BF50"/>
    </row>
    <row r="51" spans="1:66" x14ac:dyDescent="0.25">
      <c r="A51" s="56" t="s">
        <v>460</v>
      </c>
      <c r="B51" s="19" t="s">
        <v>20</v>
      </c>
      <c r="C51" s="56"/>
      <c r="D51" s="34">
        <v>43168</v>
      </c>
      <c r="E51" s="34">
        <v>44264</v>
      </c>
      <c r="F51" s="34">
        <v>42492</v>
      </c>
      <c r="G51" s="37">
        <v>43921</v>
      </c>
      <c r="H51" s="33" t="s">
        <v>1099</v>
      </c>
      <c r="I51" s="19" t="s">
        <v>1173</v>
      </c>
      <c r="J51" s="19"/>
      <c r="K51" s="56" t="s">
        <v>461</v>
      </c>
      <c r="L51" s="57" t="s">
        <v>462</v>
      </c>
      <c r="M51" s="56" t="s">
        <v>463</v>
      </c>
      <c r="N51" s="56"/>
      <c r="O51" s="56"/>
      <c r="P51" s="56"/>
      <c r="Q51" s="56"/>
      <c r="R51" s="56"/>
      <c r="S51" s="56"/>
      <c r="T51" s="56"/>
      <c r="U51" s="56"/>
      <c r="V51" s="56">
        <f t="shared" si="13"/>
        <v>0</v>
      </c>
      <c r="W51" s="56"/>
      <c r="X51" s="56">
        <v>1</v>
      </c>
      <c r="Y51" s="56">
        <v>4</v>
      </c>
      <c r="Z51" s="56">
        <v>2</v>
      </c>
      <c r="AA51" s="56"/>
      <c r="AB51" s="56"/>
      <c r="AC51" s="56"/>
      <c r="AD51" s="56"/>
      <c r="AE51" s="56"/>
      <c r="AF51" s="56">
        <f t="shared" si="1"/>
        <v>7</v>
      </c>
      <c r="AG51" s="56">
        <f t="shared" si="2"/>
        <v>1</v>
      </c>
      <c r="AH51" s="56">
        <f t="shared" si="3"/>
        <v>4</v>
      </c>
      <c r="AI51" s="56">
        <f t="shared" si="4"/>
        <v>2</v>
      </c>
      <c r="AJ51" s="56">
        <f t="shared" si="5"/>
        <v>0</v>
      </c>
      <c r="AK51" s="56">
        <f t="shared" si="6"/>
        <v>0</v>
      </c>
      <c r="AL51" s="56">
        <f t="shared" si="7"/>
        <v>0</v>
      </c>
      <c r="AM51" s="56">
        <f t="shared" si="8"/>
        <v>0</v>
      </c>
      <c r="AN51" s="56">
        <f t="shared" si="9"/>
        <v>0</v>
      </c>
      <c r="AO51" s="58">
        <f t="shared" si="10"/>
        <v>7</v>
      </c>
      <c r="AP51" s="69" t="s">
        <v>121</v>
      </c>
      <c r="AQ51" s="40">
        <f t="shared" si="14"/>
        <v>7</v>
      </c>
      <c r="AR51" s="40">
        <v>0</v>
      </c>
      <c r="AS51" s="31">
        <v>0</v>
      </c>
      <c r="AT51" s="31">
        <v>0</v>
      </c>
      <c r="AU51" s="31">
        <v>0</v>
      </c>
      <c r="AV51" s="39">
        <v>0</v>
      </c>
      <c r="AW51" s="31"/>
      <c r="AX51" s="31"/>
      <c r="AY51" s="31"/>
      <c r="AZ51" s="31"/>
      <c r="BA51" s="39"/>
      <c r="BB51" s="152">
        <f t="shared" si="12"/>
        <v>0</v>
      </c>
      <c r="BC51" s="43">
        <v>518534</v>
      </c>
      <c r="BD51" s="43">
        <v>171320</v>
      </c>
      <c r="BE51" t="s">
        <v>1487</v>
      </c>
      <c r="BF51"/>
    </row>
    <row r="52" spans="1:66" x14ac:dyDescent="0.25">
      <c r="A52" s="56" t="s">
        <v>472</v>
      </c>
      <c r="B52" s="19" t="s">
        <v>31</v>
      </c>
      <c r="C52" s="56"/>
      <c r="D52" s="34">
        <v>43214</v>
      </c>
      <c r="E52" s="34">
        <v>44310</v>
      </c>
      <c r="F52" s="34">
        <v>43496</v>
      </c>
      <c r="G52" s="34">
        <v>43565</v>
      </c>
      <c r="H52" s="33" t="s">
        <v>1099</v>
      </c>
      <c r="I52" s="19" t="s">
        <v>1173</v>
      </c>
      <c r="J52" s="19"/>
      <c r="K52" s="56" t="s">
        <v>473</v>
      </c>
      <c r="L52" s="57" t="s">
        <v>474</v>
      </c>
      <c r="M52" s="56" t="s">
        <v>475</v>
      </c>
      <c r="N52" s="56">
        <v>1</v>
      </c>
      <c r="O52" s="56"/>
      <c r="P52" s="56"/>
      <c r="Q52" s="56"/>
      <c r="R52" s="56">
        <v>0</v>
      </c>
      <c r="S52" s="56"/>
      <c r="T52" s="56"/>
      <c r="U52" s="56"/>
      <c r="V52" s="56">
        <f t="shared" si="13"/>
        <v>1</v>
      </c>
      <c r="W52" s="56"/>
      <c r="X52" s="56">
        <v>1</v>
      </c>
      <c r="Y52" s="56">
        <v>2</v>
      </c>
      <c r="Z52" s="56"/>
      <c r="AA52" s="56"/>
      <c r="AB52" s="56"/>
      <c r="AC52" s="56"/>
      <c r="AD52" s="56"/>
      <c r="AE52" s="56"/>
      <c r="AF52" s="56">
        <f t="shared" si="1"/>
        <v>3</v>
      </c>
      <c r="AG52" s="56">
        <f t="shared" si="2"/>
        <v>0</v>
      </c>
      <c r="AH52" s="56">
        <f t="shared" si="3"/>
        <v>2</v>
      </c>
      <c r="AI52" s="56">
        <f t="shared" si="4"/>
        <v>0</v>
      </c>
      <c r="AJ52" s="56">
        <f t="shared" si="5"/>
        <v>0</v>
      </c>
      <c r="AK52" s="56">
        <f t="shared" si="6"/>
        <v>0</v>
      </c>
      <c r="AL52" s="56">
        <f t="shared" si="7"/>
        <v>0</v>
      </c>
      <c r="AM52" s="56">
        <f t="shared" si="8"/>
        <v>0</v>
      </c>
      <c r="AN52" s="56">
        <f t="shared" si="9"/>
        <v>0</v>
      </c>
      <c r="AO52" s="58">
        <f t="shared" si="10"/>
        <v>2</v>
      </c>
      <c r="AP52" s="69"/>
      <c r="AQ52" s="40">
        <f t="shared" si="14"/>
        <v>2</v>
      </c>
      <c r="AR52" s="40">
        <v>0</v>
      </c>
      <c r="AS52" s="31">
        <v>0</v>
      </c>
      <c r="AT52" s="31">
        <v>0</v>
      </c>
      <c r="AU52" s="31">
        <v>0</v>
      </c>
      <c r="AV52" s="39">
        <v>0</v>
      </c>
      <c r="AW52" s="31"/>
      <c r="AX52" s="31"/>
      <c r="AY52" s="31"/>
      <c r="AZ52" s="31"/>
      <c r="BA52" s="39"/>
      <c r="BB52" s="152">
        <f t="shared" si="12"/>
        <v>0</v>
      </c>
      <c r="BC52" s="43">
        <v>518267</v>
      </c>
      <c r="BD52" s="43">
        <v>175282</v>
      </c>
      <c r="BE52" t="s">
        <v>1422</v>
      </c>
      <c r="BF52"/>
      <c r="BM52" t="s">
        <v>1545</v>
      </c>
      <c r="BN52" t="s">
        <v>1511</v>
      </c>
    </row>
    <row r="53" spans="1:66" x14ac:dyDescent="0.25">
      <c r="A53" s="56" t="s">
        <v>490</v>
      </c>
      <c r="B53" s="19" t="s">
        <v>20</v>
      </c>
      <c r="C53" s="56"/>
      <c r="D53" s="34">
        <v>43389</v>
      </c>
      <c r="E53" s="34">
        <v>44485</v>
      </c>
      <c r="F53" s="34">
        <v>43501</v>
      </c>
      <c r="G53" s="37">
        <v>43921</v>
      </c>
      <c r="H53" s="33" t="s">
        <v>1099</v>
      </c>
      <c r="I53" s="19" t="s">
        <v>1173</v>
      </c>
      <c r="J53" s="19"/>
      <c r="K53" s="56" t="s">
        <v>491</v>
      </c>
      <c r="L53" s="46" t="s">
        <v>1355</v>
      </c>
      <c r="M53" s="56" t="s">
        <v>492</v>
      </c>
      <c r="N53" s="56"/>
      <c r="O53" s="56"/>
      <c r="P53" s="56"/>
      <c r="Q53" s="56"/>
      <c r="R53" s="56"/>
      <c r="S53" s="56"/>
      <c r="T53" s="56"/>
      <c r="U53" s="56"/>
      <c r="V53" s="56">
        <f t="shared" si="13"/>
        <v>0</v>
      </c>
      <c r="W53" s="56"/>
      <c r="X53" s="56"/>
      <c r="Y53" s="56"/>
      <c r="Z53" s="56">
        <v>1</v>
      </c>
      <c r="AA53" s="56"/>
      <c r="AB53" s="56"/>
      <c r="AC53" s="56"/>
      <c r="AD53" s="56"/>
      <c r="AE53" s="56"/>
      <c r="AF53" s="56">
        <f t="shared" si="1"/>
        <v>1</v>
      </c>
      <c r="AG53" s="56">
        <f t="shared" si="2"/>
        <v>0</v>
      </c>
      <c r="AH53" s="56">
        <f t="shared" si="3"/>
        <v>0</v>
      </c>
      <c r="AI53" s="56">
        <f t="shared" si="4"/>
        <v>1</v>
      </c>
      <c r="AJ53" s="56">
        <f t="shared" si="5"/>
        <v>0</v>
      </c>
      <c r="AK53" s="56">
        <f t="shared" si="6"/>
        <v>0</v>
      </c>
      <c r="AL53" s="56">
        <f t="shared" si="7"/>
        <v>0</v>
      </c>
      <c r="AM53" s="56">
        <f t="shared" si="8"/>
        <v>0</v>
      </c>
      <c r="AN53" s="56">
        <f t="shared" si="9"/>
        <v>0</v>
      </c>
      <c r="AO53" s="58">
        <f t="shared" si="10"/>
        <v>1</v>
      </c>
      <c r="AP53" s="69"/>
      <c r="AQ53" s="40">
        <f t="shared" si="14"/>
        <v>1</v>
      </c>
      <c r="AR53" s="40">
        <v>0</v>
      </c>
      <c r="AS53" s="31">
        <v>0</v>
      </c>
      <c r="AT53" s="31">
        <v>0</v>
      </c>
      <c r="AU53" s="31">
        <v>0</v>
      </c>
      <c r="AV53" s="39">
        <v>0</v>
      </c>
      <c r="AW53" s="31"/>
      <c r="AX53" s="31"/>
      <c r="AY53" s="31"/>
      <c r="AZ53" s="31"/>
      <c r="BA53" s="39"/>
      <c r="BB53" s="152">
        <f t="shared" si="12"/>
        <v>0</v>
      </c>
      <c r="BC53" s="43">
        <v>517531</v>
      </c>
      <c r="BD53" s="43">
        <v>174067</v>
      </c>
      <c r="BE53" t="s">
        <v>1426</v>
      </c>
      <c r="BF53" t="s">
        <v>1410</v>
      </c>
    </row>
    <row r="54" spans="1:66" x14ac:dyDescent="0.25">
      <c r="A54" s="56" t="s">
        <v>496</v>
      </c>
      <c r="B54" s="19" t="s">
        <v>20</v>
      </c>
      <c r="C54" s="56"/>
      <c r="D54" s="34">
        <v>43306</v>
      </c>
      <c r="E54" s="34">
        <v>44402</v>
      </c>
      <c r="F54" s="34">
        <v>43405</v>
      </c>
      <c r="G54" s="37">
        <v>43801</v>
      </c>
      <c r="H54" s="33" t="s">
        <v>1099</v>
      </c>
      <c r="I54" s="19" t="s">
        <v>1173</v>
      </c>
      <c r="J54" s="19"/>
      <c r="K54" s="56" t="s">
        <v>497</v>
      </c>
      <c r="L54" s="46" t="s">
        <v>498</v>
      </c>
      <c r="M54" s="56" t="s">
        <v>499</v>
      </c>
      <c r="N54" s="56"/>
      <c r="O54" s="56"/>
      <c r="P54" s="56"/>
      <c r="Q54" s="56"/>
      <c r="R54" s="56"/>
      <c r="S54" s="56"/>
      <c r="T54" s="56"/>
      <c r="U54" s="56"/>
      <c r="V54" s="56">
        <f t="shared" si="13"/>
        <v>0</v>
      </c>
      <c r="W54" s="56"/>
      <c r="X54" s="56"/>
      <c r="Y54" s="56"/>
      <c r="Z54" s="56"/>
      <c r="AA54" s="56">
        <v>2</v>
      </c>
      <c r="AB54" s="56"/>
      <c r="AC54" s="56"/>
      <c r="AD54" s="56"/>
      <c r="AE54" s="56"/>
      <c r="AF54" s="56">
        <f t="shared" si="1"/>
        <v>2</v>
      </c>
      <c r="AG54" s="56">
        <f t="shared" si="2"/>
        <v>0</v>
      </c>
      <c r="AH54" s="56">
        <f t="shared" si="3"/>
        <v>0</v>
      </c>
      <c r="AI54" s="56">
        <f t="shared" si="4"/>
        <v>0</v>
      </c>
      <c r="AJ54" s="56">
        <f t="shared" si="5"/>
        <v>2</v>
      </c>
      <c r="AK54" s="56">
        <f t="shared" si="6"/>
        <v>0</v>
      </c>
      <c r="AL54" s="56">
        <f t="shared" si="7"/>
        <v>0</v>
      </c>
      <c r="AM54" s="56">
        <f t="shared" si="8"/>
        <v>0</v>
      </c>
      <c r="AN54" s="56">
        <f t="shared" si="9"/>
        <v>0</v>
      </c>
      <c r="AO54" s="58">
        <f t="shared" si="10"/>
        <v>2</v>
      </c>
      <c r="AP54" s="69"/>
      <c r="AQ54" s="40">
        <f t="shared" si="14"/>
        <v>2</v>
      </c>
      <c r="AR54" s="40">
        <v>0</v>
      </c>
      <c r="AS54" s="31">
        <v>0</v>
      </c>
      <c r="AT54" s="31">
        <v>0</v>
      </c>
      <c r="AU54" s="31">
        <v>0</v>
      </c>
      <c r="AV54" s="39">
        <v>0</v>
      </c>
      <c r="AW54" s="31"/>
      <c r="AX54" s="31"/>
      <c r="AY54" s="31"/>
      <c r="AZ54" s="31"/>
      <c r="BA54" s="39"/>
      <c r="BB54" s="152">
        <f t="shared" si="12"/>
        <v>0</v>
      </c>
      <c r="BC54" s="43">
        <v>521397</v>
      </c>
      <c r="BD54" s="43">
        <v>175828</v>
      </c>
      <c r="BE54" t="s">
        <v>1459</v>
      </c>
      <c r="BF54"/>
    </row>
    <row r="55" spans="1:66" x14ac:dyDescent="0.25">
      <c r="A55" s="56" t="s">
        <v>511</v>
      </c>
      <c r="B55" s="19" t="s">
        <v>38</v>
      </c>
      <c r="C55" s="56"/>
      <c r="D55" s="34">
        <v>43385</v>
      </c>
      <c r="E55" s="34">
        <v>44481</v>
      </c>
      <c r="F55" s="19"/>
      <c r="G55" s="37">
        <v>43921</v>
      </c>
      <c r="H55" s="33" t="s">
        <v>1099</v>
      </c>
      <c r="I55" s="19" t="s">
        <v>1173</v>
      </c>
      <c r="J55" s="19"/>
      <c r="K55" s="56" t="s">
        <v>512</v>
      </c>
      <c r="L55" s="57" t="s">
        <v>513</v>
      </c>
      <c r="M55" s="56" t="s">
        <v>389</v>
      </c>
      <c r="N55" s="56"/>
      <c r="O55" s="56"/>
      <c r="P55" s="56">
        <v>1</v>
      </c>
      <c r="Q55" s="56"/>
      <c r="R55" s="56"/>
      <c r="S55" s="56"/>
      <c r="T55" s="56"/>
      <c r="U55" s="56"/>
      <c r="V55" s="56">
        <f t="shared" si="13"/>
        <v>1</v>
      </c>
      <c r="W55" s="56"/>
      <c r="X55" s="56">
        <v>2</v>
      </c>
      <c r="Y55" s="56"/>
      <c r="Z55" s="56"/>
      <c r="AA55" s="56"/>
      <c r="AB55" s="56"/>
      <c r="AC55" s="56"/>
      <c r="AD55" s="56"/>
      <c r="AE55" s="56"/>
      <c r="AF55" s="56">
        <f t="shared" si="1"/>
        <v>2</v>
      </c>
      <c r="AG55" s="56">
        <f t="shared" si="2"/>
        <v>2</v>
      </c>
      <c r="AH55" s="56">
        <f t="shared" si="3"/>
        <v>0</v>
      </c>
      <c r="AI55" s="56">
        <f t="shared" si="4"/>
        <v>-1</v>
      </c>
      <c r="AJ55" s="56">
        <f t="shared" si="5"/>
        <v>0</v>
      </c>
      <c r="AK55" s="56">
        <f t="shared" si="6"/>
        <v>0</v>
      </c>
      <c r="AL55" s="56">
        <f t="shared" si="7"/>
        <v>0</v>
      </c>
      <c r="AM55" s="56">
        <f t="shared" si="8"/>
        <v>0</v>
      </c>
      <c r="AN55" s="56">
        <f t="shared" si="9"/>
        <v>0</v>
      </c>
      <c r="AO55" s="58">
        <f t="shared" si="10"/>
        <v>1</v>
      </c>
      <c r="AP55" s="69"/>
      <c r="AQ55" s="40">
        <f t="shared" si="14"/>
        <v>1</v>
      </c>
      <c r="AR55" s="40">
        <v>0</v>
      </c>
      <c r="AS55" s="31">
        <v>0</v>
      </c>
      <c r="AT55" s="31">
        <v>0</v>
      </c>
      <c r="AU55" s="31">
        <v>0</v>
      </c>
      <c r="AV55" s="39">
        <v>0</v>
      </c>
      <c r="AW55" s="31"/>
      <c r="AX55" s="31"/>
      <c r="AY55" s="31"/>
      <c r="AZ55" s="31"/>
      <c r="BA55" s="39"/>
      <c r="BB55" s="152">
        <f t="shared" si="12"/>
        <v>0</v>
      </c>
      <c r="BC55" s="43">
        <v>514174</v>
      </c>
      <c r="BD55" s="43">
        <v>173697</v>
      </c>
      <c r="BE55" t="s">
        <v>1428</v>
      </c>
      <c r="BF55"/>
      <c r="BG55" t="s">
        <v>1428</v>
      </c>
    </row>
    <row r="56" spans="1:66" x14ac:dyDescent="0.25">
      <c r="A56" s="56" t="s">
        <v>546</v>
      </c>
      <c r="B56" s="19" t="s">
        <v>20</v>
      </c>
      <c r="C56" s="56"/>
      <c r="D56" s="34">
        <v>43154</v>
      </c>
      <c r="E56" s="34">
        <v>44253</v>
      </c>
      <c r="F56" s="34">
        <v>43509</v>
      </c>
      <c r="G56" s="34">
        <v>43768</v>
      </c>
      <c r="H56" s="33" t="s">
        <v>1099</v>
      </c>
      <c r="I56" s="19" t="s">
        <v>1173</v>
      </c>
      <c r="J56" s="2"/>
      <c r="K56" s="56" t="s">
        <v>547</v>
      </c>
      <c r="L56" s="57" t="s">
        <v>548</v>
      </c>
      <c r="M56" s="56" t="s">
        <v>549</v>
      </c>
      <c r="N56" s="56"/>
      <c r="O56" s="56"/>
      <c r="P56" s="56">
        <v>1</v>
      </c>
      <c r="Q56" s="56"/>
      <c r="R56" s="56"/>
      <c r="S56" s="56"/>
      <c r="T56" s="56"/>
      <c r="U56" s="56"/>
      <c r="V56" s="56">
        <f t="shared" si="13"/>
        <v>1</v>
      </c>
      <c r="W56" s="56"/>
      <c r="X56" s="56"/>
      <c r="Y56" s="56"/>
      <c r="Z56" s="56"/>
      <c r="AA56" s="56"/>
      <c r="AB56" s="56"/>
      <c r="AC56" s="56">
        <v>0</v>
      </c>
      <c r="AD56" s="56"/>
      <c r="AE56" s="56"/>
      <c r="AF56" s="56">
        <f t="shared" si="1"/>
        <v>0</v>
      </c>
      <c r="AG56" s="56">
        <f t="shared" si="2"/>
        <v>0</v>
      </c>
      <c r="AH56" s="56">
        <f t="shared" si="3"/>
        <v>0</v>
      </c>
      <c r="AI56" s="56">
        <f t="shared" si="4"/>
        <v>-1</v>
      </c>
      <c r="AJ56" s="56">
        <f t="shared" si="5"/>
        <v>0</v>
      </c>
      <c r="AK56" s="56">
        <f t="shared" si="6"/>
        <v>0</v>
      </c>
      <c r="AL56" s="56">
        <f t="shared" si="7"/>
        <v>0</v>
      </c>
      <c r="AM56" s="56">
        <f t="shared" si="8"/>
        <v>0</v>
      </c>
      <c r="AN56" s="56">
        <f t="shared" si="9"/>
        <v>0</v>
      </c>
      <c r="AO56" s="58">
        <f t="shared" si="10"/>
        <v>-1</v>
      </c>
      <c r="AP56" s="248"/>
      <c r="AQ56" s="40">
        <f t="shared" si="14"/>
        <v>-1</v>
      </c>
      <c r="AR56" s="40">
        <v>0</v>
      </c>
      <c r="AS56" s="31">
        <v>0</v>
      </c>
      <c r="AT56" s="31">
        <v>0</v>
      </c>
      <c r="AU56" s="31">
        <v>0</v>
      </c>
      <c r="AV56" s="39">
        <v>0</v>
      </c>
      <c r="AW56" s="31"/>
      <c r="AX56" s="31"/>
      <c r="AY56" s="31"/>
      <c r="AZ56" s="31"/>
      <c r="BA56" s="39"/>
      <c r="BB56" s="152">
        <f t="shared" si="12"/>
        <v>0</v>
      </c>
      <c r="BC56" s="43">
        <v>515649</v>
      </c>
      <c r="BD56" s="43">
        <v>170638</v>
      </c>
      <c r="BE56" s="150" t="s">
        <v>1405</v>
      </c>
      <c r="BF56" s="150"/>
      <c r="BG56" s="150"/>
      <c r="BH56" s="150"/>
      <c r="BI56" s="150"/>
      <c r="BJ56" s="150"/>
      <c r="BK56" s="150"/>
      <c r="BL56" s="150"/>
      <c r="BM56" s="150"/>
      <c r="BN56" s="150"/>
    </row>
    <row r="57" spans="1:66" s="150" customFormat="1" x14ac:dyDescent="0.25">
      <c r="A57" s="56" t="s">
        <v>583</v>
      </c>
      <c r="B57" s="19" t="s">
        <v>20</v>
      </c>
      <c r="C57" s="56"/>
      <c r="D57" s="34">
        <v>43224</v>
      </c>
      <c r="E57" s="34">
        <v>44320</v>
      </c>
      <c r="F57" s="34">
        <v>43252</v>
      </c>
      <c r="G57" s="34">
        <v>43616</v>
      </c>
      <c r="H57" s="33" t="s">
        <v>1099</v>
      </c>
      <c r="I57" s="19" t="s">
        <v>1173</v>
      </c>
      <c r="J57" s="19"/>
      <c r="K57" s="56" t="s">
        <v>584</v>
      </c>
      <c r="L57" s="57" t="s">
        <v>585</v>
      </c>
      <c r="M57" s="56" t="s">
        <v>586</v>
      </c>
      <c r="N57" s="56"/>
      <c r="O57" s="56"/>
      <c r="P57" s="56">
        <v>1</v>
      </c>
      <c r="Q57" s="56"/>
      <c r="R57" s="56"/>
      <c r="S57" s="56"/>
      <c r="T57" s="56"/>
      <c r="U57" s="56"/>
      <c r="V57" s="56">
        <f t="shared" si="13"/>
        <v>1</v>
      </c>
      <c r="W57" s="56"/>
      <c r="X57" s="56"/>
      <c r="Y57" s="56"/>
      <c r="Z57" s="56">
        <v>2</v>
      </c>
      <c r="AA57" s="56"/>
      <c r="AB57" s="56"/>
      <c r="AC57" s="56"/>
      <c r="AD57" s="56"/>
      <c r="AE57" s="56"/>
      <c r="AF57" s="56">
        <f t="shared" si="1"/>
        <v>2</v>
      </c>
      <c r="AG57" s="56">
        <f t="shared" si="2"/>
        <v>0</v>
      </c>
      <c r="AH57" s="56">
        <f t="shared" si="3"/>
        <v>0</v>
      </c>
      <c r="AI57" s="56">
        <f t="shared" si="4"/>
        <v>1</v>
      </c>
      <c r="AJ57" s="56">
        <f t="shared" si="5"/>
        <v>0</v>
      </c>
      <c r="AK57" s="56">
        <f t="shared" si="6"/>
        <v>0</v>
      </c>
      <c r="AL57" s="56">
        <f t="shared" si="7"/>
        <v>0</v>
      </c>
      <c r="AM57" s="56">
        <f t="shared" si="8"/>
        <v>0</v>
      </c>
      <c r="AN57" s="56">
        <f t="shared" si="9"/>
        <v>0</v>
      </c>
      <c r="AO57" s="58">
        <f t="shared" si="10"/>
        <v>1</v>
      </c>
      <c r="AP57" s="69"/>
      <c r="AQ57" s="40">
        <f t="shared" si="14"/>
        <v>1</v>
      </c>
      <c r="AR57" s="40">
        <v>0</v>
      </c>
      <c r="AS57" s="31">
        <v>0</v>
      </c>
      <c r="AT57" s="31">
        <v>0</v>
      </c>
      <c r="AU57" s="31">
        <v>0</v>
      </c>
      <c r="AV57" s="39">
        <v>0</v>
      </c>
      <c r="AW57" s="31"/>
      <c r="AX57" s="31"/>
      <c r="AY57" s="31"/>
      <c r="AZ57" s="31"/>
      <c r="BA57" s="39"/>
      <c r="BB57" s="152">
        <f t="shared" si="12"/>
        <v>0</v>
      </c>
      <c r="BC57" s="43">
        <v>517784</v>
      </c>
      <c r="BD57" s="43">
        <v>171703</v>
      </c>
      <c r="BE57" t="s">
        <v>1487</v>
      </c>
      <c r="BF57"/>
      <c r="BG57"/>
      <c r="BH57"/>
      <c r="BI57"/>
      <c r="BJ57"/>
      <c r="BK57"/>
      <c r="BL57"/>
      <c r="BM57" t="s">
        <v>1545</v>
      </c>
      <c r="BN57" t="s">
        <v>1507</v>
      </c>
    </row>
    <row r="58" spans="1:66" ht="15" customHeight="1" x14ac:dyDescent="0.25">
      <c r="A58" s="56" t="s">
        <v>610</v>
      </c>
      <c r="B58" s="19" t="s">
        <v>38</v>
      </c>
      <c r="C58" s="56"/>
      <c r="D58" s="34">
        <v>43382</v>
      </c>
      <c r="E58" s="34">
        <v>44478</v>
      </c>
      <c r="F58" s="34">
        <v>43405</v>
      </c>
      <c r="G58" s="37">
        <v>43908</v>
      </c>
      <c r="H58" s="33" t="s">
        <v>1099</v>
      </c>
      <c r="I58" s="19" t="s">
        <v>1173</v>
      </c>
      <c r="J58" s="19"/>
      <c r="K58" s="56" t="s">
        <v>611</v>
      </c>
      <c r="L58" s="57" t="s">
        <v>612</v>
      </c>
      <c r="M58" s="56" t="s">
        <v>613</v>
      </c>
      <c r="N58" s="56">
        <v>2</v>
      </c>
      <c r="O58" s="56"/>
      <c r="P58" s="56"/>
      <c r="Q58" s="56"/>
      <c r="R58" s="56"/>
      <c r="S58" s="56"/>
      <c r="T58" s="56"/>
      <c r="U58" s="56"/>
      <c r="V58" s="56">
        <f t="shared" si="13"/>
        <v>2</v>
      </c>
      <c r="W58" s="56"/>
      <c r="X58" s="56"/>
      <c r="Y58" s="56">
        <v>1</v>
      </c>
      <c r="Z58" s="56"/>
      <c r="AA58" s="56"/>
      <c r="AB58" s="56"/>
      <c r="AC58" s="56"/>
      <c r="AD58" s="56"/>
      <c r="AE58" s="56"/>
      <c r="AF58" s="56">
        <f t="shared" si="1"/>
        <v>1</v>
      </c>
      <c r="AG58" s="56">
        <f t="shared" si="2"/>
        <v>-2</v>
      </c>
      <c r="AH58" s="56">
        <f t="shared" si="3"/>
        <v>1</v>
      </c>
      <c r="AI58" s="56">
        <f t="shared" si="4"/>
        <v>0</v>
      </c>
      <c r="AJ58" s="56">
        <f t="shared" si="5"/>
        <v>0</v>
      </c>
      <c r="AK58" s="56">
        <f t="shared" si="6"/>
        <v>0</v>
      </c>
      <c r="AL58" s="56">
        <f t="shared" si="7"/>
        <v>0</v>
      </c>
      <c r="AM58" s="56">
        <f t="shared" si="8"/>
        <v>0</v>
      </c>
      <c r="AN58" s="56">
        <f t="shared" si="9"/>
        <v>0</v>
      </c>
      <c r="AO58" s="58">
        <f t="shared" si="10"/>
        <v>-1</v>
      </c>
      <c r="AP58" s="248"/>
      <c r="AQ58" s="40">
        <f t="shared" si="14"/>
        <v>-1</v>
      </c>
      <c r="AR58" s="40">
        <v>0</v>
      </c>
      <c r="AS58" s="31">
        <v>0</v>
      </c>
      <c r="AT58" s="31">
        <v>0</v>
      </c>
      <c r="AU58" s="31">
        <v>0</v>
      </c>
      <c r="AV58" s="39">
        <v>0</v>
      </c>
      <c r="AW58" s="31"/>
      <c r="AX58" s="31"/>
      <c r="AY58" s="31"/>
      <c r="AZ58" s="31"/>
      <c r="BA58" s="39"/>
      <c r="BB58" s="152">
        <f t="shared" si="12"/>
        <v>0</v>
      </c>
      <c r="BC58" s="43">
        <v>514998</v>
      </c>
      <c r="BD58" s="43">
        <v>172958</v>
      </c>
      <c r="BE58" s="150" t="s">
        <v>1427</v>
      </c>
      <c r="BF58" s="150"/>
      <c r="BG58" s="150"/>
      <c r="BH58" s="150"/>
      <c r="BI58" s="150"/>
      <c r="BJ58" s="150"/>
      <c r="BK58" s="150"/>
      <c r="BL58" s="150"/>
      <c r="BM58" s="150"/>
      <c r="BN58" s="150"/>
    </row>
    <row r="59" spans="1:66" s="150" customFormat="1" x14ac:dyDescent="0.25">
      <c r="A59" s="56" t="s">
        <v>614</v>
      </c>
      <c r="B59" s="19" t="s">
        <v>31</v>
      </c>
      <c r="C59" s="56"/>
      <c r="D59" s="34">
        <v>43305</v>
      </c>
      <c r="E59" s="34">
        <v>44401</v>
      </c>
      <c r="F59" s="34">
        <v>43586</v>
      </c>
      <c r="G59" s="34">
        <v>43722</v>
      </c>
      <c r="H59" s="33" t="s">
        <v>1099</v>
      </c>
      <c r="I59" s="19" t="s">
        <v>1173</v>
      </c>
      <c r="J59" s="19"/>
      <c r="K59" s="56" t="s">
        <v>615</v>
      </c>
      <c r="L59" s="57" t="s">
        <v>616</v>
      </c>
      <c r="M59" s="56" t="s">
        <v>617</v>
      </c>
      <c r="N59" s="56"/>
      <c r="O59" s="56"/>
      <c r="P59" s="56"/>
      <c r="Q59" s="56"/>
      <c r="R59" s="56"/>
      <c r="S59" s="56"/>
      <c r="T59" s="56"/>
      <c r="U59" s="56"/>
      <c r="V59" s="56">
        <f t="shared" si="13"/>
        <v>0</v>
      </c>
      <c r="W59" s="56"/>
      <c r="X59" s="56">
        <v>4</v>
      </c>
      <c r="Y59" s="56"/>
      <c r="Z59" s="56"/>
      <c r="AA59" s="56"/>
      <c r="AB59" s="56"/>
      <c r="AC59" s="56"/>
      <c r="AD59" s="56"/>
      <c r="AE59" s="56"/>
      <c r="AF59" s="56">
        <f t="shared" si="1"/>
        <v>4</v>
      </c>
      <c r="AG59" s="56">
        <f t="shared" si="2"/>
        <v>4</v>
      </c>
      <c r="AH59" s="56">
        <f t="shared" si="3"/>
        <v>0</v>
      </c>
      <c r="AI59" s="56">
        <f t="shared" si="4"/>
        <v>0</v>
      </c>
      <c r="AJ59" s="56">
        <f t="shared" si="5"/>
        <v>0</v>
      </c>
      <c r="AK59" s="56">
        <f t="shared" si="6"/>
        <v>0</v>
      </c>
      <c r="AL59" s="56">
        <f t="shared" si="7"/>
        <v>0</v>
      </c>
      <c r="AM59" s="56">
        <f t="shared" si="8"/>
        <v>0</v>
      </c>
      <c r="AN59" s="56">
        <f t="shared" si="9"/>
        <v>0</v>
      </c>
      <c r="AO59" s="58">
        <f t="shared" si="10"/>
        <v>4</v>
      </c>
      <c r="AP59" s="69"/>
      <c r="AQ59" s="40">
        <f t="shared" si="14"/>
        <v>4</v>
      </c>
      <c r="AR59" s="40">
        <v>0</v>
      </c>
      <c r="AS59" s="31">
        <v>0</v>
      </c>
      <c r="AT59" s="31">
        <v>0</v>
      </c>
      <c r="AU59" s="31">
        <v>0</v>
      </c>
      <c r="AV59" s="39">
        <v>0</v>
      </c>
      <c r="AW59" s="31"/>
      <c r="AX59" s="31"/>
      <c r="AY59" s="31"/>
      <c r="AZ59" s="31"/>
      <c r="BA59" s="39"/>
      <c r="BB59" s="152">
        <f t="shared" si="12"/>
        <v>0</v>
      </c>
      <c r="BC59" s="43">
        <v>515424</v>
      </c>
      <c r="BD59" s="43">
        <v>173951</v>
      </c>
      <c r="BE59" t="s">
        <v>1488</v>
      </c>
      <c r="BF59"/>
      <c r="BG59"/>
      <c r="BH59"/>
      <c r="BI59"/>
      <c r="BJ59"/>
      <c r="BK59"/>
      <c r="BL59"/>
      <c r="BM59"/>
      <c r="BN59"/>
    </row>
    <row r="60" spans="1:66" ht="15" customHeight="1" x14ac:dyDescent="0.25">
      <c r="A60" s="56" t="s">
        <v>626</v>
      </c>
      <c r="B60" s="19" t="s">
        <v>20</v>
      </c>
      <c r="C60" s="56"/>
      <c r="D60" s="34">
        <v>43363</v>
      </c>
      <c r="E60" s="34">
        <v>44459</v>
      </c>
      <c r="F60" s="34">
        <v>43199</v>
      </c>
      <c r="G60" s="34">
        <v>43678</v>
      </c>
      <c r="H60" s="33" t="s">
        <v>1099</v>
      </c>
      <c r="I60" s="19" t="s">
        <v>1173</v>
      </c>
      <c r="J60" s="19"/>
      <c r="K60" s="56" t="s">
        <v>627</v>
      </c>
      <c r="L60" s="57" t="s">
        <v>628</v>
      </c>
      <c r="M60" s="56" t="s">
        <v>629</v>
      </c>
      <c r="N60" s="56"/>
      <c r="O60" s="56"/>
      <c r="P60" s="56">
        <v>1</v>
      </c>
      <c r="Q60" s="56"/>
      <c r="R60" s="56"/>
      <c r="S60" s="56"/>
      <c r="T60" s="56"/>
      <c r="U60" s="56"/>
      <c r="V60" s="56">
        <f t="shared" si="13"/>
        <v>1</v>
      </c>
      <c r="W60" s="56"/>
      <c r="X60" s="56"/>
      <c r="Y60" s="56"/>
      <c r="Z60" s="56">
        <v>2</v>
      </c>
      <c r="AA60" s="56"/>
      <c r="AB60" s="56"/>
      <c r="AC60" s="56"/>
      <c r="AD60" s="56"/>
      <c r="AE60" s="56"/>
      <c r="AF60" s="56">
        <f t="shared" si="1"/>
        <v>2</v>
      </c>
      <c r="AG60" s="56">
        <f t="shared" si="2"/>
        <v>0</v>
      </c>
      <c r="AH60" s="56">
        <f t="shared" si="3"/>
        <v>0</v>
      </c>
      <c r="AI60" s="56">
        <f t="shared" si="4"/>
        <v>1</v>
      </c>
      <c r="AJ60" s="56">
        <f t="shared" si="5"/>
        <v>0</v>
      </c>
      <c r="AK60" s="56">
        <f t="shared" si="6"/>
        <v>0</v>
      </c>
      <c r="AL60" s="56">
        <f t="shared" si="7"/>
        <v>0</v>
      </c>
      <c r="AM60" s="56">
        <f t="shared" si="8"/>
        <v>0</v>
      </c>
      <c r="AN60" s="56">
        <f t="shared" si="9"/>
        <v>0</v>
      </c>
      <c r="AO60" s="58">
        <f t="shared" si="10"/>
        <v>1</v>
      </c>
      <c r="AP60" s="69"/>
      <c r="AQ60" s="40">
        <f t="shared" si="14"/>
        <v>1</v>
      </c>
      <c r="AR60" s="40">
        <v>0</v>
      </c>
      <c r="AS60" s="31">
        <v>0</v>
      </c>
      <c r="AT60" s="31">
        <v>0</v>
      </c>
      <c r="AU60" s="31">
        <v>0</v>
      </c>
      <c r="AV60" s="39">
        <v>0</v>
      </c>
      <c r="AW60" s="31"/>
      <c r="AX60" s="31"/>
      <c r="AY60" s="31"/>
      <c r="AZ60" s="31"/>
      <c r="BA60" s="39"/>
      <c r="BB60" s="152">
        <f t="shared" si="12"/>
        <v>0</v>
      </c>
      <c r="BC60" s="43">
        <v>514859</v>
      </c>
      <c r="BD60" s="43">
        <v>172254</v>
      </c>
      <c r="BE60" t="s">
        <v>1424</v>
      </c>
      <c r="BF60"/>
    </row>
    <row r="61" spans="1:66" ht="15" customHeight="1" x14ac:dyDescent="0.25">
      <c r="A61" s="56" t="s">
        <v>638</v>
      </c>
      <c r="B61" s="19" t="s">
        <v>31</v>
      </c>
      <c r="C61" s="56"/>
      <c r="D61" s="34">
        <v>43446</v>
      </c>
      <c r="E61" s="34">
        <v>44543</v>
      </c>
      <c r="F61" s="34">
        <v>43473</v>
      </c>
      <c r="G61" s="34">
        <v>43868</v>
      </c>
      <c r="H61" s="33" t="s">
        <v>1099</v>
      </c>
      <c r="I61" s="19" t="s">
        <v>1173</v>
      </c>
      <c r="J61" s="19"/>
      <c r="K61" s="56" t="s">
        <v>639</v>
      </c>
      <c r="L61" s="57" t="s">
        <v>640</v>
      </c>
      <c r="M61" s="56" t="s">
        <v>467</v>
      </c>
      <c r="N61" s="56"/>
      <c r="O61" s="56"/>
      <c r="P61" s="56"/>
      <c r="Q61" s="56"/>
      <c r="R61" s="56"/>
      <c r="S61" s="56"/>
      <c r="T61" s="56"/>
      <c r="U61" s="56"/>
      <c r="V61" s="56">
        <f t="shared" si="13"/>
        <v>0</v>
      </c>
      <c r="W61" s="56"/>
      <c r="X61" s="56">
        <v>1</v>
      </c>
      <c r="Y61" s="56"/>
      <c r="Z61" s="56"/>
      <c r="AA61" s="56"/>
      <c r="AB61" s="56"/>
      <c r="AC61" s="56"/>
      <c r="AD61" s="56"/>
      <c r="AE61" s="56"/>
      <c r="AF61" s="56">
        <f t="shared" si="1"/>
        <v>1</v>
      </c>
      <c r="AG61" s="56">
        <f t="shared" si="2"/>
        <v>1</v>
      </c>
      <c r="AH61" s="56">
        <f t="shared" si="3"/>
        <v>0</v>
      </c>
      <c r="AI61" s="56">
        <f t="shared" si="4"/>
        <v>0</v>
      </c>
      <c r="AJ61" s="56">
        <f t="shared" si="5"/>
        <v>0</v>
      </c>
      <c r="AK61" s="56">
        <f t="shared" si="6"/>
        <v>0</v>
      </c>
      <c r="AL61" s="56">
        <f t="shared" si="7"/>
        <v>0</v>
      </c>
      <c r="AM61" s="56">
        <f t="shared" si="8"/>
        <v>0</v>
      </c>
      <c r="AN61" s="56">
        <f t="shared" si="9"/>
        <v>0</v>
      </c>
      <c r="AO61" s="58">
        <f t="shared" si="10"/>
        <v>1</v>
      </c>
      <c r="AP61" s="69"/>
      <c r="AQ61" s="40">
        <f t="shared" si="14"/>
        <v>1</v>
      </c>
      <c r="AR61" s="40">
        <v>0</v>
      </c>
      <c r="AS61" s="31">
        <v>0</v>
      </c>
      <c r="AT61" s="31">
        <v>0</v>
      </c>
      <c r="AU61" s="31">
        <v>0</v>
      </c>
      <c r="AV61" s="39">
        <v>0</v>
      </c>
      <c r="AW61" s="31"/>
      <c r="AX61" s="31"/>
      <c r="AY61" s="31"/>
      <c r="AZ61" s="31"/>
      <c r="BA61" s="39"/>
      <c r="BB61" s="152">
        <f t="shared" si="12"/>
        <v>0</v>
      </c>
      <c r="BC61" s="43">
        <v>521322</v>
      </c>
      <c r="BD61" s="43">
        <v>175815</v>
      </c>
      <c r="BE61" t="s">
        <v>1459</v>
      </c>
      <c r="BF61"/>
      <c r="BI61" t="s">
        <v>1551</v>
      </c>
      <c r="BJ61" t="s">
        <v>1494</v>
      </c>
    </row>
    <row r="62" spans="1:66" ht="15" customHeight="1" x14ac:dyDescent="0.25">
      <c r="A62" s="56" t="s">
        <v>641</v>
      </c>
      <c r="B62" s="19" t="s">
        <v>20</v>
      </c>
      <c r="C62" s="56"/>
      <c r="D62" s="34">
        <v>43335</v>
      </c>
      <c r="E62" s="34">
        <v>44431</v>
      </c>
      <c r="F62" s="19"/>
      <c r="G62" s="34">
        <v>43613</v>
      </c>
      <c r="H62" s="33" t="s">
        <v>1099</v>
      </c>
      <c r="I62" s="19" t="s">
        <v>1173</v>
      </c>
      <c r="J62" s="19"/>
      <c r="K62" s="56" t="s">
        <v>642</v>
      </c>
      <c r="L62" s="57" t="s">
        <v>643</v>
      </c>
      <c r="M62" s="56" t="s">
        <v>317</v>
      </c>
      <c r="N62" s="56"/>
      <c r="O62" s="56"/>
      <c r="P62" s="56"/>
      <c r="Q62" s="56"/>
      <c r="R62" s="56"/>
      <c r="S62" s="56"/>
      <c r="T62" s="56"/>
      <c r="U62" s="56"/>
      <c r="V62" s="56">
        <f t="shared" si="13"/>
        <v>0</v>
      </c>
      <c r="W62" s="56"/>
      <c r="X62" s="56"/>
      <c r="Y62" s="56">
        <v>1</v>
      </c>
      <c r="Z62" s="56"/>
      <c r="AA62" s="56"/>
      <c r="AB62" s="56"/>
      <c r="AC62" s="56"/>
      <c r="AD62" s="56"/>
      <c r="AE62" s="56"/>
      <c r="AF62" s="56">
        <f t="shared" si="1"/>
        <v>1</v>
      </c>
      <c r="AG62" s="56">
        <f t="shared" si="2"/>
        <v>0</v>
      </c>
      <c r="AH62" s="56">
        <f t="shared" si="3"/>
        <v>1</v>
      </c>
      <c r="AI62" s="56">
        <f t="shared" si="4"/>
        <v>0</v>
      </c>
      <c r="AJ62" s="56">
        <f t="shared" si="5"/>
        <v>0</v>
      </c>
      <c r="AK62" s="56">
        <f t="shared" si="6"/>
        <v>0</v>
      </c>
      <c r="AL62" s="56">
        <f t="shared" si="7"/>
        <v>0</v>
      </c>
      <c r="AM62" s="56">
        <f t="shared" si="8"/>
        <v>0</v>
      </c>
      <c r="AN62" s="56">
        <f t="shared" si="9"/>
        <v>0</v>
      </c>
      <c r="AO62" s="58">
        <f t="shared" si="10"/>
        <v>1</v>
      </c>
      <c r="AP62" s="69"/>
      <c r="AQ62" s="40">
        <f t="shared" si="14"/>
        <v>1</v>
      </c>
      <c r="AR62" s="40">
        <v>0</v>
      </c>
      <c r="AS62" s="31">
        <v>0</v>
      </c>
      <c r="AT62" s="31">
        <v>0</v>
      </c>
      <c r="AU62" s="31">
        <v>0</v>
      </c>
      <c r="AV62" s="39">
        <v>0</v>
      </c>
      <c r="AW62" s="31"/>
      <c r="AX62" s="31"/>
      <c r="AY62" s="31"/>
      <c r="AZ62" s="31"/>
      <c r="BA62" s="39"/>
      <c r="BB62" s="152">
        <f t="shared" si="12"/>
        <v>0</v>
      </c>
      <c r="BC62" s="43">
        <v>514675</v>
      </c>
      <c r="BD62" s="43">
        <v>172117</v>
      </c>
      <c r="BE62" t="s">
        <v>1427</v>
      </c>
      <c r="BF62" t="s">
        <v>1410</v>
      </c>
    </row>
    <row r="63" spans="1:66" ht="15" customHeight="1" x14ac:dyDescent="0.25">
      <c r="A63" s="56" t="s">
        <v>644</v>
      </c>
      <c r="B63" s="19" t="s">
        <v>38</v>
      </c>
      <c r="C63" s="56"/>
      <c r="D63" s="34">
        <v>43287</v>
      </c>
      <c r="E63" s="34">
        <v>44383</v>
      </c>
      <c r="F63" s="34">
        <v>43374</v>
      </c>
      <c r="G63" s="34">
        <v>43753</v>
      </c>
      <c r="H63" s="33" t="s">
        <v>1099</v>
      </c>
      <c r="I63" s="19" t="s">
        <v>1173</v>
      </c>
      <c r="J63" s="19"/>
      <c r="K63" s="56" t="s">
        <v>645</v>
      </c>
      <c r="L63" s="57" t="s">
        <v>646</v>
      </c>
      <c r="M63" s="56" t="s">
        <v>647</v>
      </c>
      <c r="N63" s="56"/>
      <c r="O63" s="56"/>
      <c r="P63" s="56"/>
      <c r="Q63" s="56"/>
      <c r="R63" s="56">
        <v>1</v>
      </c>
      <c r="S63" s="56"/>
      <c r="T63" s="56"/>
      <c r="U63" s="56"/>
      <c r="V63" s="56">
        <f t="shared" si="13"/>
        <v>1</v>
      </c>
      <c r="W63" s="56"/>
      <c r="X63" s="56"/>
      <c r="Y63" s="56">
        <v>2</v>
      </c>
      <c r="Z63" s="56"/>
      <c r="AA63" s="56"/>
      <c r="AB63" s="56"/>
      <c r="AC63" s="56"/>
      <c r="AD63" s="56"/>
      <c r="AE63" s="56"/>
      <c r="AF63" s="56">
        <f t="shared" si="1"/>
        <v>2</v>
      </c>
      <c r="AG63" s="56">
        <f t="shared" si="2"/>
        <v>0</v>
      </c>
      <c r="AH63" s="56">
        <f t="shared" si="3"/>
        <v>2</v>
      </c>
      <c r="AI63" s="56">
        <f t="shared" si="4"/>
        <v>0</v>
      </c>
      <c r="AJ63" s="56">
        <f t="shared" si="5"/>
        <v>0</v>
      </c>
      <c r="AK63" s="56">
        <f t="shared" si="6"/>
        <v>-1</v>
      </c>
      <c r="AL63" s="56">
        <f t="shared" si="7"/>
        <v>0</v>
      </c>
      <c r="AM63" s="56">
        <f t="shared" si="8"/>
        <v>0</v>
      </c>
      <c r="AN63" s="56">
        <f t="shared" si="9"/>
        <v>0</v>
      </c>
      <c r="AO63" s="58">
        <f t="shared" si="10"/>
        <v>1</v>
      </c>
      <c r="AP63" s="69"/>
      <c r="AQ63" s="40">
        <f t="shared" si="14"/>
        <v>1</v>
      </c>
      <c r="AR63" s="40">
        <v>0</v>
      </c>
      <c r="AS63" s="31">
        <v>0</v>
      </c>
      <c r="AT63" s="31">
        <v>0</v>
      </c>
      <c r="AU63" s="31">
        <v>0</v>
      </c>
      <c r="AV63" s="39">
        <v>0</v>
      </c>
      <c r="AW63" s="31"/>
      <c r="AX63" s="31"/>
      <c r="AY63" s="31"/>
      <c r="AZ63" s="31"/>
      <c r="BA63" s="39"/>
      <c r="BB63" s="152">
        <f t="shared" si="12"/>
        <v>0</v>
      </c>
      <c r="BC63" s="43">
        <v>516418</v>
      </c>
      <c r="BD63" s="43">
        <v>171190</v>
      </c>
      <c r="BE63" t="s">
        <v>1405</v>
      </c>
      <c r="BF63"/>
      <c r="BM63" t="s">
        <v>1545</v>
      </c>
      <c r="BN63" t="s">
        <v>1512</v>
      </c>
    </row>
    <row r="64" spans="1:66" ht="15" customHeight="1" x14ac:dyDescent="0.25">
      <c r="A64" s="56" t="s">
        <v>652</v>
      </c>
      <c r="B64" s="19" t="s">
        <v>31</v>
      </c>
      <c r="C64" s="56" t="s">
        <v>1203</v>
      </c>
      <c r="D64" s="34">
        <v>43228</v>
      </c>
      <c r="E64" s="34">
        <v>44324</v>
      </c>
      <c r="F64" s="19"/>
      <c r="G64" s="34">
        <v>43630</v>
      </c>
      <c r="H64" s="33" t="s">
        <v>1099</v>
      </c>
      <c r="I64" s="19" t="s">
        <v>1173</v>
      </c>
      <c r="J64" s="19"/>
      <c r="K64" s="56" t="s">
        <v>653</v>
      </c>
      <c r="L64" s="57" t="s">
        <v>654</v>
      </c>
      <c r="M64" s="56" t="s">
        <v>655</v>
      </c>
      <c r="N64" s="56"/>
      <c r="O64" s="56"/>
      <c r="P64" s="56"/>
      <c r="Q64" s="56"/>
      <c r="R64" s="56"/>
      <c r="S64" s="56"/>
      <c r="T64" s="56"/>
      <c r="U64" s="56"/>
      <c r="V64" s="56">
        <f t="shared" si="13"/>
        <v>0</v>
      </c>
      <c r="W64" s="56"/>
      <c r="X64" s="56">
        <v>7</v>
      </c>
      <c r="Y64" s="56"/>
      <c r="Z64" s="56"/>
      <c r="AA64" s="56"/>
      <c r="AB64" s="56"/>
      <c r="AC64" s="56"/>
      <c r="AD64" s="56"/>
      <c r="AE64" s="56"/>
      <c r="AF64" s="56">
        <f t="shared" si="1"/>
        <v>7</v>
      </c>
      <c r="AG64" s="56">
        <f t="shared" si="2"/>
        <v>7</v>
      </c>
      <c r="AH64" s="56">
        <f t="shared" si="3"/>
        <v>0</v>
      </c>
      <c r="AI64" s="56">
        <f t="shared" si="4"/>
        <v>0</v>
      </c>
      <c r="AJ64" s="56">
        <f t="shared" si="5"/>
        <v>0</v>
      </c>
      <c r="AK64" s="56">
        <f t="shared" si="6"/>
        <v>0</v>
      </c>
      <c r="AL64" s="56">
        <f t="shared" si="7"/>
        <v>0</v>
      </c>
      <c r="AM64" s="56">
        <f t="shared" si="8"/>
        <v>0</v>
      </c>
      <c r="AN64" s="56">
        <f t="shared" si="9"/>
        <v>0</v>
      </c>
      <c r="AO64" s="58">
        <f t="shared" si="10"/>
        <v>7</v>
      </c>
      <c r="AP64" s="69"/>
      <c r="AQ64" s="40">
        <f t="shared" si="14"/>
        <v>7</v>
      </c>
      <c r="AR64" s="40">
        <v>0</v>
      </c>
      <c r="AS64" s="31">
        <v>0</v>
      </c>
      <c r="AT64" s="31">
        <v>0</v>
      </c>
      <c r="AU64" s="31">
        <v>0</v>
      </c>
      <c r="AV64" s="39">
        <v>0</v>
      </c>
      <c r="AW64" s="31"/>
      <c r="AX64" s="31"/>
      <c r="AY64" s="31"/>
      <c r="AZ64" s="31"/>
      <c r="BA64" s="39"/>
      <c r="BB64" s="152">
        <f t="shared" si="12"/>
        <v>0</v>
      </c>
      <c r="BC64" s="43">
        <v>516011</v>
      </c>
      <c r="BD64" s="43">
        <v>171165</v>
      </c>
      <c r="BE64" t="s">
        <v>1405</v>
      </c>
      <c r="BF64"/>
      <c r="BG64" t="s">
        <v>1405</v>
      </c>
    </row>
    <row r="65" spans="1:66" ht="15" customHeight="1" x14ac:dyDescent="0.25">
      <c r="A65" s="56" t="s">
        <v>679</v>
      </c>
      <c r="B65" s="19" t="s">
        <v>43</v>
      </c>
      <c r="C65" s="56"/>
      <c r="D65" s="34">
        <v>43378</v>
      </c>
      <c r="E65" s="34">
        <v>44474</v>
      </c>
      <c r="F65" s="34">
        <v>43602</v>
      </c>
      <c r="G65" s="34">
        <v>43718</v>
      </c>
      <c r="H65" s="33" t="s">
        <v>1099</v>
      </c>
      <c r="I65" s="19" t="s">
        <v>1173</v>
      </c>
      <c r="J65" s="19"/>
      <c r="K65" s="56" t="s">
        <v>680</v>
      </c>
      <c r="L65" s="57" t="s">
        <v>681</v>
      </c>
      <c r="M65" s="56" t="s">
        <v>682</v>
      </c>
      <c r="N65" s="56"/>
      <c r="O65" s="56"/>
      <c r="P65" s="56"/>
      <c r="Q65" s="56"/>
      <c r="R65" s="56"/>
      <c r="S65" s="56"/>
      <c r="T65" s="56"/>
      <c r="U65" s="56"/>
      <c r="V65" s="56">
        <f t="shared" si="13"/>
        <v>0</v>
      </c>
      <c r="W65" s="56"/>
      <c r="X65" s="56"/>
      <c r="Y65" s="56">
        <v>1</v>
      </c>
      <c r="Z65" s="56"/>
      <c r="AA65" s="56"/>
      <c r="AB65" s="56"/>
      <c r="AC65" s="56"/>
      <c r="AD65" s="56"/>
      <c r="AE65" s="56"/>
      <c r="AF65" s="56">
        <f t="shared" si="1"/>
        <v>1</v>
      </c>
      <c r="AG65" s="56">
        <f t="shared" si="2"/>
        <v>0</v>
      </c>
      <c r="AH65" s="56">
        <f t="shared" si="3"/>
        <v>1</v>
      </c>
      <c r="AI65" s="56">
        <f t="shared" si="4"/>
        <v>0</v>
      </c>
      <c r="AJ65" s="56">
        <f t="shared" si="5"/>
        <v>0</v>
      </c>
      <c r="AK65" s="56">
        <f t="shared" si="6"/>
        <v>0</v>
      </c>
      <c r="AL65" s="56">
        <f t="shared" si="7"/>
        <v>0</v>
      </c>
      <c r="AM65" s="56">
        <f t="shared" si="8"/>
        <v>0</v>
      </c>
      <c r="AN65" s="56">
        <f t="shared" si="9"/>
        <v>0</v>
      </c>
      <c r="AO65" s="58">
        <f t="shared" si="10"/>
        <v>1</v>
      </c>
      <c r="AP65" s="69"/>
      <c r="AQ65" s="40">
        <f t="shared" si="14"/>
        <v>1</v>
      </c>
      <c r="AR65" s="40">
        <v>0</v>
      </c>
      <c r="AS65" s="31">
        <v>0</v>
      </c>
      <c r="AT65" s="31">
        <v>0</v>
      </c>
      <c r="AU65" s="31">
        <v>0</v>
      </c>
      <c r="AV65" s="39">
        <v>0</v>
      </c>
      <c r="AW65" s="31"/>
      <c r="AX65" s="31"/>
      <c r="AY65" s="31"/>
      <c r="AZ65" s="31"/>
      <c r="BA65" s="39"/>
      <c r="BB65" s="152">
        <f t="shared" si="12"/>
        <v>0</v>
      </c>
      <c r="BC65" s="43">
        <v>518588</v>
      </c>
      <c r="BD65" s="43">
        <v>175372</v>
      </c>
      <c r="BE65" t="s">
        <v>1422</v>
      </c>
      <c r="BF65"/>
    </row>
    <row r="66" spans="1:66" ht="15" customHeight="1" x14ac:dyDescent="0.25">
      <c r="A66" s="56" t="s">
        <v>687</v>
      </c>
      <c r="B66" s="19" t="s">
        <v>31</v>
      </c>
      <c r="C66" s="56" t="s">
        <v>1203</v>
      </c>
      <c r="D66" s="34">
        <v>43266</v>
      </c>
      <c r="E66" s="34">
        <v>44362</v>
      </c>
      <c r="F66" s="34">
        <v>43588</v>
      </c>
      <c r="G66" s="37">
        <v>43720</v>
      </c>
      <c r="H66" s="33" t="s">
        <v>1099</v>
      </c>
      <c r="I66" s="19" t="s">
        <v>1173</v>
      </c>
      <c r="J66" s="19"/>
      <c r="K66" s="56" t="s">
        <v>688</v>
      </c>
      <c r="L66" s="57" t="s">
        <v>689</v>
      </c>
      <c r="M66" s="56" t="s">
        <v>690</v>
      </c>
      <c r="N66" s="56"/>
      <c r="O66" s="56"/>
      <c r="P66" s="56"/>
      <c r="Q66" s="56"/>
      <c r="R66" s="56"/>
      <c r="S66" s="56"/>
      <c r="T66" s="56"/>
      <c r="U66" s="56"/>
      <c r="V66" s="56">
        <f t="shared" ref="V66:V97" si="15">SUM(N66:U66)</f>
        <v>0</v>
      </c>
      <c r="W66" s="56"/>
      <c r="X66" s="56">
        <v>1</v>
      </c>
      <c r="Y66" s="56"/>
      <c r="Z66" s="56"/>
      <c r="AA66" s="56"/>
      <c r="AB66" s="56"/>
      <c r="AC66" s="56"/>
      <c r="AD66" s="56"/>
      <c r="AE66" s="56"/>
      <c r="AF66" s="56">
        <f t="shared" ref="AF66:AF129" si="16">SUM(X66:AD66)</f>
        <v>1</v>
      </c>
      <c r="AG66" s="56">
        <f t="shared" ref="AG66:AG129" si="17">X66-N66</f>
        <v>1</v>
      </c>
      <c r="AH66" s="56">
        <f t="shared" ref="AH66:AH129" si="18">Y66-O66</f>
        <v>0</v>
      </c>
      <c r="AI66" s="56">
        <f t="shared" ref="AI66:AI129" si="19">Z66-P66</f>
        <v>0</v>
      </c>
      <c r="AJ66" s="56">
        <f t="shared" ref="AJ66:AJ129" si="20">AA66-Q66</f>
        <v>0</v>
      </c>
      <c r="AK66" s="56">
        <f t="shared" ref="AK66:AK129" si="21">AB66-R66</f>
        <v>0</v>
      </c>
      <c r="AL66" s="56">
        <f t="shared" ref="AL66:AL129" si="22">AC66-S66</f>
        <v>0</v>
      </c>
      <c r="AM66" s="56">
        <f t="shared" ref="AM66:AM129" si="23">AD66-T66</f>
        <v>0</v>
      </c>
      <c r="AN66" s="56">
        <f t="shared" ref="AN66:AN129" si="24">0-U66</f>
        <v>0</v>
      </c>
      <c r="AO66" s="58">
        <f t="shared" ref="AO66:AO129" si="25">AF66-V66</f>
        <v>1</v>
      </c>
      <c r="AP66" s="69"/>
      <c r="AQ66" s="40">
        <f t="shared" si="14"/>
        <v>1</v>
      </c>
      <c r="AR66" s="40">
        <v>0</v>
      </c>
      <c r="AS66" s="31">
        <v>0</v>
      </c>
      <c r="AT66" s="31">
        <v>0</v>
      </c>
      <c r="AU66" s="31">
        <v>0</v>
      </c>
      <c r="AV66" s="39">
        <v>0</v>
      </c>
      <c r="AW66" s="31"/>
      <c r="AX66" s="31"/>
      <c r="AY66" s="31"/>
      <c r="AZ66" s="31"/>
      <c r="BA66" s="39"/>
      <c r="BB66" s="152">
        <f t="shared" ref="BB66:BB129" si="26">SUM(AR66:BA66)</f>
        <v>0</v>
      </c>
      <c r="BC66" s="43">
        <v>520124</v>
      </c>
      <c r="BD66" s="43">
        <v>175293</v>
      </c>
      <c r="BE66" t="s">
        <v>1402</v>
      </c>
      <c r="BF66"/>
      <c r="BG66" t="s">
        <v>1402</v>
      </c>
    </row>
    <row r="67" spans="1:66" ht="15" customHeight="1" x14ac:dyDescent="0.25">
      <c r="A67" s="56" t="s">
        <v>700</v>
      </c>
      <c r="B67" s="19" t="s">
        <v>38</v>
      </c>
      <c r="C67" s="56"/>
      <c r="D67" s="34">
        <v>43368</v>
      </c>
      <c r="E67" s="34">
        <v>44464</v>
      </c>
      <c r="F67" s="34">
        <v>43496</v>
      </c>
      <c r="G67" s="34">
        <v>43748</v>
      </c>
      <c r="H67" s="33" t="s">
        <v>1099</v>
      </c>
      <c r="I67" s="19" t="s">
        <v>1173</v>
      </c>
      <c r="J67" s="19"/>
      <c r="K67" s="56" t="s">
        <v>701</v>
      </c>
      <c r="L67" s="57" t="s">
        <v>702</v>
      </c>
      <c r="M67" s="56" t="s">
        <v>703</v>
      </c>
      <c r="N67" s="56"/>
      <c r="O67" s="56"/>
      <c r="P67" s="56">
        <v>1</v>
      </c>
      <c r="Q67" s="56"/>
      <c r="R67" s="56"/>
      <c r="S67" s="56"/>
      <c r="T67" s="56"/>
      <c r="U67" s="56"/>
      <c r="V67" s="56">
        <f t="shared" si="15"/>
        <v>1</v>
      </c>
      <c r="W67" s="56"/>
      <c r="X67" s="56">
        <v>1</v>
      </c>
      <c r="Y67" s="56">
        <v>2</v>
      </c>
      <c r="Z67" s="56"/>
      <c r="AA67" s="56"/>
      <c r="AB67" s="56"/>
      <c r="AC67" s="56"/>
      <c r="AD67" s="56"/>
      <c r="AE67" s="56"/>
      <c r="AF67" s="56">
        <f t="shared" si="16"/>
        <v>3</v>
      </c>
      <c r="AG67" s="56">
        <f t="shared" si="17"/>
        <v>1</v>
      </c>
      <c r="AH67" s="56">
        <f t="shared" si="18"/>
        <v>2</v>
      </c>
      <c r="AI67" s="56">
        <f t="shared" si="19"/>
        <v>-1</v>
      </c>
      <c r="AJ67" s="56">
        <f t="shared" si="20"/>
        <v>0</v>
      </c>
      <c r="AK67" s="56">
        <f t="shared" si="21"/>
        <v>0</v>
      </c>
      <c r="AL67" s="56">
        <f t="shared" si="22"/>
        <v>0</v>
      </c>
      <c r="AM67" s="56">
        <f t="shared" si="23"/>
        <v>0</v>
      </c>
      <c r="AN67" s="56">
        <f t="shared" si="24"/>
        <v>0</v>
      </c>
      <c r="AO67" s="58">
        <f t="shared" si="25"/>
        <v>2</v>
      </c>
      <c r="AP67" s="69"/>
      <c r="AQ67" s="40">
        <f t="shared" si="14"/>
        <v>2</v>
      </c>
      <c r="AR67" s="40">
        <v>0</v>
      </c>
      <c r="AS67" s="31">
        <v>0</v>
      </c>
      <c r="AT67" s="31">
        <v>0</v>
      </c>
      <c r="AU67" s="31">
        <v>0</v>
      </c>
      <c r="AV67" s="39">
        <v>0</v>
      </c>
      <c r="AW67" s="31"/>
      <c r="AX67" s="31"/>
      <c r="AY67" s="31"/>
      <c r="AZ67" s="31"/>
      <c r="BA67" s="39"/>
      <c r="BB67" s="152">
        <f t="shared" si="26"/>
        <v>0</v>
      </c>
      <c r="BC67" s="43">
        <v>515965</v>
      </c>
      <c r="BD67" s="43">
        <v>173782</v>
      </c>
      <c r="BE67" t="s">
        <v>1488</v>
      </c>
      <c r="BF67"/>
    </row>
    <row r="68" spans="1:66" ht="15" customHeight="1" x14ac:dyDescent="0.25">
      <c r="A68" s="56" t="s">
        <v>704</v>
      </c>
      <c r="B68" s="19" t="s">
        <v>38</v>
      </c>
      <c r="C68" s="56"/>
      <c r="D68" s="34">
        <v>43329</v>
      </c>
      <c r="E68" s="34">
        <v>44631</v>
      </c>
      <c r="F68" s="34">
        <v>43555</v>
      </c>
      <c r="G68" s="34">
        <v>43616</v>
      </c>
      <c r="H68" s="33" t="s">
        <v>1099</v>
      </c>
      <c r="I68" s="19" t="s">
        <v>1173</v>
      </c>
      <c r="J68" s="19"/>
      <c r="K68" s="56" t="s">
        <v>705</v>
      </c>
      <c r="L68" s="57" t="s">
        <v>706</v>
      </c>
      <c r="M68" s="56" t="s">
        <v>707</v>
      </c>
      <c r="N68" s="56"/>
      <c r="O68" s="56">
        <v>2</v>
      </c>
      <c r="P68" s="56"/>
      <c r="Q68" s="56"/>
      <c r="R68" s="56"/>
      <c r="S68" s="56"/>
      <c r="T68" s="56"/>
      <c r="U68" s="56"/>
      <c r="V68" s="56">
        <f t="shared" si="15"/>
        <v>2</v>
      </c>
      <c r="W68" s="56"/>
      <c r="X68" s="56"/>
      <c r="Y68" s="56"/>
      <c r="Z68" s="56"/>
      <c r="AA68" s="56">
        <v>1</v>
      </c>
      <c r="AB68" s="56"/>
      <c r="AC68" s="56"/>
      <c r="AD68" s="56"/>
      <c r="AE68" s="56"/>
      <c r="AF68" s="56">
        <f t="shared" si="16"/>
        <v>1</v>
      </c>
      <c r="AG68" s="56">
        <f t="shared" si="17"/>
        <v>0</v>
      </c>
      <c r="AH68" s="56">
        <f t="shared" si="18"/>
        <v>-2</v>
      </c>
      <c r="AI68" s="56">
        <f t="shared" si="19"/>
        <v>0</v>
      </c>
      <c r="AJ68" s="56">
        <f t="shared" si="20"/>
        <v>1</v>
      </c>
      <c r="AK68" s="56">
        <f t="shared" si="21"/>
        <v>0</v>
      </c>
      <c r="AL68" s="56">
        <f t="shared" si="22"/>
        <v>0</v>
      </c>
      <c r="AM68" s="56">
        <f t="shared" si="23"/>
        <v>0</v>
      </c>
      <c r="AN68" s="56">
        <f t="shared" si="24"/>
        <v>0</v>
      </c>
      <c r="AO68" s="58">
        <f t="shared" si="25"/>
        <v>-1</v>
      </c>
      <c r="AP68" s="69"/>
      <c r="AQ68" s="40">
        <f t="shared" si="14"/>
        <v>-1</v>
      </c>
      <c r="AR68" s="40">
        <v>0</v>
      </c>
      <c r="AS68" s="31">
        <v>0</v>
      </c>
      <c r="AT68" s="31">
        <v>0</v>
      </c>
      <c r="AU68" s="31">
        <v>0</v>
      </c>
      <c r="AV68" s="39">
        <v>0</v>
      </c>
      <c r="AW68" s="31"/>
      <c r="AX68" s="31"/>
      <c r="AY68" s="31"/>
      <c r="AZ68" s="31"/>
      <c r="BA68" s="39"/>
      <c r="BB68" s="152">
        <f t="shared" si="26"/>
        <v>0</v>
      </c>
      <c r="BC68" s="43">
        <v>516997</v>
      </c>
      <c r="BD68" s="43">
        <v>173966</v>
      </c>
      <c r="BE68" t="s">
        <v>1426</v>
      </c>
      <c r="BF68"/>
      <c r="BM68" t="s">
        <v>1545</v>
      </c>
      <c r="BN68" t="s">
        <v>1513</v>
      </c>
    </row>
    <row r="69" spans="1:66" ht="15" customHeight="1" x14ac:dyDescent="0.25">
      <c r="A69" s="56" t="s">
        <v>712</v>
      </c>
      <c r="B69" s="19" t="s">
        <v>31</v>
      </c>
      <c r="C69" s="56" t="s">
        <v>1203</v>
      </c>
      <c r="D69" s="34">
        <v>43293</v>
      </c>
      <c r="E69" s="34">
        <v>44389</v>
      </c>
      <c r="F69" s="34">
        <v>43192</v>
      </c>
      <c r="G69" s="34">
        <v>43752</v>
      </c>
      <c r="H69" s="33" t="s">
        <v>1099</v>
      </c>
      <c r="I69" s="19" t="s">
        <v>1173</v>
      </c>
      <c r="J69" s="19"/>
      <c r="K69" s="56" t="s">
        <v>713</v>
      </c>
      <c r="L69" s="57" t="s">
        <v>714</v>
      </c>
      <c r="M69" s="56" t="s">
        <v>715</v>
      </c>
      <c r="N69" s="56"/>
      <c r="O69" s="56"/>
      <c r="P69" s="56"/>
      <c r="Q69" s="56"/>
      <c r="R69" s="56"/>
      <c r="S69" s="56"/>
      <c r="T69" s="56"/>
      <c r="U69" s="56"/>
      <c r="V69" s="56">
        <f t="shared" si="15"/>
        <v>0</v>
      </c>
      <c r="W69" s="56"/>
      <c r="X69" s="56"/>
      <c r="Y69" s="56">
        <v>1</v>
      </c>
      <c r="Z69" s="56"/>
      <c r="AA69" s="56"/>
      <c r="AB69" s="56"/>
      <c r="AC69" s="56"/>
      <c r="AD69" s="56"/>
      <c r="AE69" s="56"/>
      <c r="AF69" s="56">
        <f t="shared" si="16"/>
        <v>1</v>
      </c>
      <c r="AG69" s="56">
        <f t="shared" si="17"/>
        <v>0</v>
      </c>
      <c r="AH69" s="56">
        <f t="shared" si="18"/>
        <v>1</v>
      </c>
      <c r="AI69" s="56">
        <f t="shared" si="19"/>
        <v>0</v>
      </c>
      <c r="AJ69" s="56">
        <f t="shared" si="20"/>
        <v>0</v>
      </c>
      <c r="AK69" s="56">
        <f t="shared" si="21"/>
        <v>0</v>
      </c>
      <c r="AL69" s="56">
        <f t="shared" si="22"/>
        <v>0</v>
      </c>
      <c r="AM69" s="56">
        <f t="shared" si="23"/>
        <v>0</v>
      </c>
      <c r="AN69" s="56">
        <f t="shared" si="24"/>
        <v>0</v>
      </c>
      <c r="AO69" s="58">
        <f t="shared" si="25"/>
        <v>1</v>
      </c>
      <c r="AP69" s="69"/>
      <c r="AQ69" s="40">
        <f t="shared" si="14"/>
        <v>1</v>
      </c>
      <c r="AR69" s="40">
        <v>0</v>
      </c>
      <c r="AS69" s="31">
        <v>0</v>
      </c>
      <c r="AT69" s="31">
        <v>0</v>
      </c>
      <c r="AU69" s="31">
        <v>0</v>
      </c>
      <c r="AV69" s="39">
        <v>0</v>
      </c>
      <c r="AW69" s="31"/>
      <c r="AX69" s="31"/>
      <c r="AY69" s="31"/>
      <c r="AZ69" s="31"/>
      <c r="BA69" s="39"/>
      <c r="BB69" s="152">
        <f t="shared" si="26"/>
        <v>0</v>
      </c>
      <c r="BC69" s="43">
        <v>515113</v>
      </c>
      <c r="BD69" s="43">
        <v>171634</v>
      </c>
      <c r="BE69" t="s">
        <v>1458</v>
      </c>
      <c r="BF69"/>
      <c r="BI69" t="s">
        <v>1551</v>
      </c>
      <c r="BJ69" t="s">
        <v>1514</v>
      </c>
    </row>
    <row r="70" spans="1:66" ht="15" customHeight="1" x14ac:dyDescent="0.25">
      <c r="A70" s="56" t="s">
        <v>726</v>
      </c>
      <c r="B70" s="19" t="s">
        <v>31</v>
      </c>
      <c r="C70" s="56" t="s">
        <v>1203</v>
      </c>
      <c r="D70" s="34">
        <v>43280</v>
      </c>
      <c r="E70" s="34">
        <v>44376</v>
      </c>
      <c r="F70" s="19"/>
      <c r="G70" s="34">
        <v>43882</v>
      </c>
      <c r="H70" s="33" t="s">
        <v>1099</v>
      </c>
      <c r="I70" s="19" t="s">
        <v>1173</v>
      </c>
      <c r="J70" s="19"/>
      <c r="K70" s="56" t="s">
        <v>727</v>
      </c>
      <c r="L70" s="57" t="s">
        <v>728</v>
      </c>
      <c r="M70" s="56" t="s">
        <v>729</v>
      </c>
      <c r="N70" s="56"/>
      <c r="O70" s="56"/>
      <c r="P70" s="56"/>
      <c r="Q70" s="56"/>
      <c r="R70" s="56"/>
      <c r="S70" s="56"/>
      <c r="T70" s="56"/>
      <c r="U70" s="56"/>
      <c r="V70" s="56">
        <f t="shared" si="15"/>
        <v>0</v>
      </c>
      <c r="W70" s="56"/>
      <c r="X70" s="56"/>
      <c r="Y70" s="56"/>
      <c r="Z70" s="56"/>
      <c r="AA70" s="56">
        <v>1</v>
      </c>
      <c r="AB70" s="56"/>
      <c r="AC70" s="56"/>
      <c r="AD70" s="56"/>
      <c r="AE70" s="56"/>
      <c r="AF70" s="56">
        <f t="shared" si="16"/>
        <v>1</v>
      </c>
      <c r="AG70" s="56">
        <f t="shared" si="17"/>
        <v>0</v>
      </c>
      <c r="AH70" s="56">
        <f t="shared" si="18"/>
        <v>0</v>
      </c>
      <c r="AI70" s="56">
        <f t="shared" si="19"/>
        <v>0</v>
      </c>
      <c r="AJ70" s="56">
        <f t="shared" si="20"/>
        <v>1</v>
      </c>
      <c r="AK70" s="56">
        <f t="shared" si="21"/>
        <v>0</v>
      </c>
      <c r="AL70" s="56">
        <f t="shared" si="22"/>
        <v>0</v>
      </c>
      <c r="AM70" s="56">
        <f t="shared" si="23"/>
        <v>0</v>
      </c>
      <c r="AN70" s="56">
        <f t="shared" si="24"/>
        <v>0</v>
      </c>
      <c r="AO70" s="58">
        <f t="shared" si="25"/>
        <v>1</v>
      </c>
      <c r="AP70" s="69"/>
      <c r="AQ70" s="40">
        <f t="shared" si="14"/>
        <v>1</v>
      </c>
      <c r="AR70" s="40">
        <v>0</v>
      </c>
      <c r="AS70" s="31">
        <v>0</v>
      </c>
      <c r="AT70" s="31">
        <v>0</v>
      </c>
      <c r="AU70" s="31">
        <v>0</v>
      </c>
      <c r="AV70" s="39">
        <v>0</v>
      </c>
      <c r="AW70" s="31"/>
      <c r="AX70" s="31"/>
      <c r="AY70" s="31"/>
      <c r="AZ70" s="31"/>
      <c r="BA70" s="39"/>
      <c r="BB70" s="152">
        <f t="shared" si="26"/>
        <v>0</v>
      </c>
      <c r="BC70" s="43">
        <v>515379</v>
      </c>
      <c r="BD70" s="43">
        <v>171492</v>
      </c>
      <c r="BE70" t="s">
        <v>1458</v>
      </c>
      <c r="BF70"/>
    </row>
    <row r="71" spans="1:66" ht="15" customHeight="1" x14ac:dyDescent="0.25">
      <c r="A71" s="56" t="s">
        <v>745</v>
      </c>
      <c r="B71" s="19" t="s">
        <v>38</v>
      </c>
      <c r="C71" s="56"/>
      <c r="D71" s="34">
        <v>43332</v>
      </c>
      <c r="E71" s="34">
        <v>43798</v>
      </c>
      <c r="F71" s="19"/>
      <c r="G71" s="34">
        <v>43798</v>
      </c>
      <c r="H71" s="33" t="s">
        <v>1099</v>
      </c>
      <c r="I71" s="19" t="s">
        <v>1173</v>
      </c>
      <c r="J71" s="19"/>
      <c r="K71" s="56" t="s">
        <v>746</v>
      </c>
      <c r="L71" s="57" t="s">
        <v>747</v>
      </c>
      <c r="M71" s="56" t="s">
        <v>274</v>
      </c>
      <c r="N71" s="56"/>
      <c r="O71" s="56"/>
      <c r="P71" s="56"/>
      <c r="Q71" s="56"/>
      <c r="R71" s="56">
        <v>1</v>
      </c>
      <c r="S71" s="56"/>
      <c r="T71" s="56"/>
      <c r="U71" s="56"/>
      <c r="V71" s="56">
        <f t="shared" si="15"/>
        <v>1</v>
      </c>
      <c r="W71" s="56"/>
      <c r="X71" s="56"/>
      <c r="Y71" s="56">
        <v>1</v>
      </c>
      <c r="Z71" s="56">
        <v>1</v>
      </c>
      <c r="AA71" s="56"/>
      <c r="AB71" s="56"/>
      <c r="AC71" s="56"/>
      <c r="AD71" s="56"/>
      <c r="AE71" s="56"/>
      <c r="AF71" s="56">
        <f t="shared" si="16"/>
        <v>2</v>
      </c>
      <c r="AG71" s="56">
        <f t="shared" si="17"/>
        <v>0</v>
      </c>
      <c r="AH71" s="56">
        <f t="shared" si="18"/>
        <v>1</v>
      </c>
      <c r="AI71" s="56">
        <f t="shared" si="19"/>
        <v>1</v>
      </c>
      <c r="AJ71" s="56">
        <f t="shared" si="20"/>
        <v>0</v>
      </c>
      <c r="AK71" s="56">
        <f t="shared" si="21"/>
        <v>-1</v>
      </c>
      <c r="AL71" s="56">
        <f t="shared" si="22"/>
        <v>0</v>
      </c>
      <c r="AM71" s="56">
        <f t="shared" si="23"/>
        <v>0</v>
      </c>
      <c r="AN71" s="56">
        <f t="shared" si="24"/>
        <v>0</v>
      </c>
      <c r="AO71" s="58">
        <f t="shared" si="25"/>
        <v>1</v>
      </c>
      <c r="AP71" s="69"/>
      <c r="AQ71" s="40">
        <f t="shared" si="14"/>
        <v>1</v>
      </c>
      <c r="AR71" s="40">
        <v>0</v>
      </c>
      <c r="AS71" s="31">
        <v>0</v>
      </c>
      <c r="AT71" s="31">
        <v>0</v>
      </c>
      <c r="AU71" s="31">
        <v>0</v>
      </c>
      <c r="AV71" s="39">
        <v>0</v>
      </c>
      <c r="AW71" s="31"/>
      <c r="AX71" s="31"/>
      <c r="AY71" s="31"/>
      <c r="AZ71" s="31"/>
      <c r="BA71" s="39"/>
      <c r="BB71" s="152">
        <f t="shared" si="26"/>
        <v>0</v>
      </c>
      <c r="BC71" s="43">
        <v>512613</v>
      </c>
      <c r="BD71" s="43">
        <v>173404</v>
      </c>
      <c r="BE71" t="s">
        <v>1419</v>
      </c>
      <c r="BF71"/>
    </row>
    <row r="72" spans="1:66" ht="15" customHeight="1" x14ac:dyDescent="0.25">
      <c r="A72" s="56" t="s">
        <v>759</v>
      </c>
      <c r="B72" s="19" t="s">
        <v>43</v>
      </c>
      <c r="C72" s="56"/>
      <c r="D72" s="34">
        <v>43469</v>
      </c>
      <c r="E72" s="34">
        <v>44565</v>
      </c>
      <c r="F72" s="34">
        <v>43192</v>
      </c>
      <c r="G72" s="34">
        <v>43801</v>
      </c>
      <c r="H72" s="33" t="s">
        <v>1099</v>
      </c>
      <c r="I72" s="19" t="s">
        <v>1173</v>
      </c>
      <c r="J72" s="19"/>
      <c r="K72" s="56" t="s">
        <v>760</v>
      </c>
      <c r="L72" s="57" t="s">
        <v>761</v>
      </c>
      <c r="M72" s="56" t="s">
        <v>715</v>
      </c>
      <c r="N72" s="56"/>
      <c r="O72" s="56"/>
      <c r="P72" s="56"/>
      <c r="Q72" s="56"/>
      <c r="R72" s="56"/>
      <c r="S72" s="56"/>
      <c r="T72" s="56"/>
      <c r="U72" s="56"/>
      <c r="V72" s="56">
        <f t="shared" si="15"/>
        <v>0</v>
      </c>
      <c r="W72" s="56"/>
      <c r="X72" s="56">
        <v>1</v>
      </c>
      <c r="Y72" s="56"/>
      <c r="Z72" s="56"/>
      <c r="AA72" s="56"/>
      <c r="AB72" s="56"/>
      <c r="AC72" s="56"/>
      <c r="AD72" s="56"/>
      <c r="AE72" s="56"/>
      <c r="AF72" s="56">
        <f t="shared" si="16"/>
        <v>1</v>
      </c>
      <c r="AG72" s="56">
        <f t="shared" si="17"/>
        <v>1</v>
      </c>
      <c r="AH72" s="56">
        <f t="shared" si="18"/>
        <v>0</v>
      </c>
      <c r="AI72" s="56">
        <f t="shared" si="19"/>
        <v>0</v>
      </c>
      <c r="AJ72" s="56">
        <f t="shared" si="20"/>
        <v>0</v>
      </c>
      <c r="AK72" s="56">
        <f t="shared" si="21"/>
        <v>0</v>
      </c>
      <c r="AL72" s="56">
        <f t="shared" si="22"/>
        <v>0</v>
      </c>
      <c r="AM72" s="56">
        <f t="shared" si="23"/>
        <v>0</v>
      </c>
      <c r="AN72" s="56">
        <f t="shared" si="24"/>
        <v>0</v>
      </c>
      <c r="AO72" s="58">
        <f t="shared" si="25"/>
        <v>1</v>
      </c>
      <c r="AP72" s="69"/>
      <c r="AQ72" s="40">
        <f t="shared" si="14"/>
        <v>1</v>
      </c>
      <c r="AR72" s="40">
        <v>0</v>
      </c>
      <c r="AS72" s="31">
        <v>0</v>
      </c>
      <c r="AT72" s="31">
        <v>0</v>
      </c>
      <c r="AU72" s="31">
        <v>0</v>
      </c>
      <c r="AV72" s="39">
        <v>0</v>
      </c>
      <c r="AW72" s="31"/>
      <c r="AX72" s="31"/>
      <c r="AY72" s="31"/>
      <c r="AZ72" s="31"/>
      <c r="BA72" s="39"/>
      <c r="BB72" s="152">
        <f t="shared" si="26"/>
        <v>0</v>
      </c>
      <c r="BC72" s="43">
        <v>515112</v>
      </c>
      <c r="BD72" s="43">
        <v>171634</v>
      </c>
      <c r="BE72" t="s">
        <v>1458</v>
      </c>
      <c r="BF72"/>
      <c r="BI72" t="s">
        <v>1551</v>
      </c>
      <c r="BJ72" t="s">
        <v>1514</v>
      </c>
    </row>
    <row r="73" spans="1:66" ht="15" customHeight="1" x14ac:dyDescent="0.25">
      <c r="A73" s="19" t="s">
        <v>856</v>
      </c>
      <c r="B73" s="19" t="s">
        <v>31</v>
      </c>
      <c r="C73" s="19"/>
      <c r="D73" s="34">
        <v>43637</v>
      </c>
      <c r="E73" s="34">
        <v>43637</v>
      </c>
      <c r="F73" s="34">
        <v>43637</v>
      </c>
      <c r="G73" s="34">
        <v>43637</v>
      </c>
      <c r="H73" s="33" t="s">
        <v>1099</v>
      </c>
      <c r="I73" s="19" t="s">
        <v>1173</v>
      </c>
      <c r="J73" s="19"/>
      <c r="K73" s="19" t="s">
        <v>857</v>
      </c>
      <c r="L73" s="26" t="s">
        <v>1604</v>
      </c>
      <c r="M73" s="19" t="s">
        <v>858</v>
      </c>
      <c r="N73" s="19"/>
      <c r="O73" s="19"/>
      <c r="P73" s="19"/>
      <c r="Q73" s="19"/>
      <c r="R73" s="19"/>
      <c r="S73" s="19"/>
      <c r="T73" s="19"/>
      <c r="U73" s="19"/>
      <c r="V73" s="19">
        <f t="shared" si="15"/>
        <v>0</v>
      </c>
      <c r="W73" s="19"/>
      <c r="X73" s="19"/>
      <c r="Y73" s="19"/>
      <c r="Z73" s="19"/>
      <c r="AA73" s="19">
        <v>0</v>
      </c>
      <c r="AB73" s="19">
        <v>0</v>
      </c>
      <c r="AC73" s="19"/>
      <c r="AD73" s="19"/>
      <c r="AE73" s="19"/>
      <c r="AF73" s="19">
        <f t="shared" si="16"/>
        <v>0</v>
      </c>
      <c r="AG73" s="19">
        <f t="shared" si="17"/>
        <v>0</v>
      </c>
      <c r="AH73" s="19">
        <f t="shared" si="18"/>
        <v>0</v>
      </c>
      <c r="AI73" s="19">
        <f t="shared" si="19"/>
        <v>0</v>
      </c>
      <c r="AJ73" s="19">
        <f t="shared" si="20"/>
        <v>0</v>
      </c>
      <c r="AK73" s="19">
        <f t="shared" si="21"/>
        <v>0</v>
      </c>
      <c r="AL73" s="19">
        <f t="shared" si="22"/>
        <v>0</v>
      </c>
      <c r="AM73" s="19">
        <f t="shared" si="23"/>
        <v>0</v>
      </c>
      <c r="AN73" s="19">
        <f t="shared" si="24"/>
        <v>0</v>
      </c>
      <c r="AO73" s="38">
        <f t="shared" si="25"/>
        <v>0</v>
      </c>
      <c r="AP73" s="248"/>
      <c r="AQ73" s="40">
        <f t="shared" si="14"/>
        <v>0</v>
      </c>
      <c r="AR73" s="40">
        <v>0</v>
      </c>
      <c r="AS73" s="31">
        <v>0</v>
      </c>
      <c r="AT73" s="31">
        <v>0</v>
      </c>
      <c r="AU73" s="31">
        <v>0</v>
      </c>
      <c r="AV73" s="39">
        <v>0</v>
      </c>
      <c r="AW73" s="31"/>
      <c r="AX73" s="31"/>
      <c r="AY73" s="31"/>
      <c r="AZ73" s="31"/>
      <c r="BA73" s="39"/>
      <c r="BB73" s="152">
        <f t="shared" si="26"/>
        <v>0</v>
      </c>
      <c r="BC73" s="43">
        <v>516877</v>
      </c>
      <c r="BD73" s="43">
        <v>175059</v>
      </c>
      <c r="BE73" s="19" t="s">
        <v>1488</v>
      </c>
      <c r="BF73" s="19"/>
      <c r="BG73" s="19"/>
      <c r="BH73" s="19" t="s">
        <v>1404</v>
      </c>
      <c r="BI73" s="19"/>
      <c r="BJ73" s="19"/>
      <c r="BK73" s="19"/>
      <c r="BL73" s="19" t="s">
        <v>1515</v>
      </c>
      <c r="BM73" s="19" t="s">
        <v>1545</v>
      </c>
      <c r="BN73" s="19" t="s">
        <v>1505</v>
      </c>
    </row>
    <row r="74" spans="1:66" s="19" customFormat="1" ht="15" customHeight="1" x14ac:dyDescent="0.25">
      <c r="A74" s="56" t="s">
        <v>898</v>
      </c>
      <c r="B74" s="19" t="s">
        <v>48</v>
      </c>
      <c r="C74" s="56"/>
      <c r="D74" s="34">
        <v>43677</v>
      </c>
      <c r="E74" s="34">
        <v>44773</v>
      </c>
      <c r="G74" s="34">
        <v>43887</v>
      </c>
      <c r="H74" s="33" t="s">
        <v>1099</v>
      </c>
      <c r="I74" s="19" t="s">
        <v>1173</v>
      </c>
      <c r="K74" s="56" t="s">
        <v>660</v>
      </c>
      <c r="L74" s="57" t="s">
        <v>899</v>
      </c>
      <c r="M74" s="56" t="s">
        <v>661</v>
      </c>
      <c r="N74" s="56"/>
      <c r="O74" s="56"/>
      <c r="P74" s="56"/>
      <c r="Q74" s="56"/>
      <c r="R74" s="56"/>
      <c r="S74" s="56"/>
      <c r="T74" s="56"/>
      <c r="U74" s="56"/>
      <c r="V74" s="56">
        <f t="shared" si="15"/>
        <v>0</v>
      </c>
      <c r="W74" s="56"/>
      <c r="X74" s="56">
        <v>4</v>
      </c>
      <c r="Y74" s="56">
        <v>3</v>
      </c>
      <c r="Z74" s="56"/>
      <c r="AA74" s="56"/>
      <c r="AB74" s="56"/>
      <c r="AC74" s="56"/>
      <c r="AD74" s="56"/>
      <c r="AE74" s="56"/>
      <c r="AF74" s="56">
        <f t="shared" si="16"/>
        <v>7</v>
      </c>
      <c r="AG74" s="56">
        <f t="shared" si="17"/>
        <v>4</v>
      </c>
      <c r="AH74" s="56">
        <f t="shared" si="18"/>
        <v>3</v>
      </c>
      <c r="AI74" s="56">
        <f t="shared" si="19"/>
        <v>0</v>
      </c>
      <c r="AJ74" s="56">
        <f t="shared" si="20"/>
        <v>0</v>
      </c>
      <c r="AK74" s="56">
        <f t="shared" si="21"/>
        <v>0</v>
      </c>
      <c r="AL74" s="56">
        <f t="shared" si="22"/>
        <v>0</v>
      </c>
      <c r="AM74" s="56">
        <f t="shared" si="23"/>
        <v>0</v>
      </c>
      <c r="AN74" s="56">
        <f t="shared" si="24"/>
        <v>0</v>
      </c>
      <c r="AO74" s="58">
        <f t="shared" si="25"/>
        <v>7</v>
      </c>
      <c r="AP74" s="69"/>
      <c r="AQ74" s="40">
        <f t="shared" si="14"/>
        <v>7</v>
      </c>
      <c r="AR74" s="40">
        <v>0</v>
      </c>
      <c r="AS74" s="31">
        <v>0</v>
      </c>
      <c r="AT74" s="31">
        <v>0</v>
      </c>
      <c r="AU74" s="31">
        <v>0</v>
      </c>
      <c r="AV74" s="39">
        <v>0</v>
      </c>
      <c r="AW74" s="31"/>
      <c r="AX74" s="31"/>
      <c r="AY74" s="31"/>
      <c r="AZ74" s="31"/>
      <c r="BA74" s="39"/>
      <c r="BB74" s="152">
        <f t="shared" si="26"/>
        <v>0</v>
      </c>
      <c r="BC74" s="43">
        <v>514280</v>
      </c>
      <c r="BD74" s="43">
        <v>170996</v>
      </c>
      <c r="BE74" t="s">
        <v>1458</v>
      </c>
      <c r="BF74"/>
      <c r="BG74"/>
      <c r="BH74"/>
      <c r="BI74" t="s">
        <v>1551</v>
      </c>
      <c r="BJ74" t="s">
        <v>1503</v>
      </c>
      <c r="BK74"/>
      <c r="BL74"/>
      <c r="BM74"/>
      <c r="BN74"/>
    </row>
    <row r="75" spans="1:66" ht="15" customHeight="1" x14ac:dyDescent="0.25">
      <c r="A75" s="56" t="s">
        <v>904</v>
      </c>
      <c r="B75" s="19" t="s">
        <v>38</v>
      </c>
      <c r="C75" s="56"/>
      <c r="D75" s="34">
        <v>43761</v>
      </c>
      <c r="E75" s="34">
        <v>44857</v>
      </c>
      <c r="F75" s="19"/>
      <c r="G75" s="34">
        <v>43761</v>
      </c>
      <c r="H75" s="33" t="s">
        <v>1099</v>
      </c>
      <c r="I75" s="19" t="s">
        <v>1173</v>
      </c>
      <c r="J75" s="19"/>
      <c r="K75" s="56" t="s">
        <v>905</v>
      </c>
      <c r="L75" s="57" t="s">
        <v>906</v>
      </c>
      <c r="M75" s="56" t="s">
        <v>907</v>
      </c>
      <c r="N75" s="56"/>
      <c r="O75" s="56"/>
      <c r="P75" s="56">
        <v>1</v>
      </c>
      <c r="Q75" s="56"/>
      <c r="R75" s="56"/>
      <c r="S75" s="56"/>
      <c r="T75" s="56"/>
      <c r="U75" s="56"/>
      <c r="V75" s="56">
        <f t="shared" si="15"/>
        <v>1</v>
      </c>
      <c r="W75" s="56"/>
      <c r="X75" s="56">
        <v>1</v>
      </c>
      <c r="Y75" s="56">
        <v>1</v>
      </c>
      <c r="Z75" s="56"/>
      <c r="AA75" s="56"/>
      <c r="AB75" s="56"/>
      <c r="AC75" s="56"/>
      <c r="AD75" s="56"/>
      <c r="AE75" s="56"/>
      <c r="AF75" s="56">
        <f t="shared" si="16"/>
        <v>2</v>
      </c>
      <c r="AG75" s="56">
        <f t="shared" si="17"/>
        <v>1</v>
      </c>
      <c r="AH75" s="56">
        <f t="shared" si="18"/>
        <v>1</v>
      </c>
      <c r="AI75" s="56">
        <f t="shared" si="19"/>
        <v>-1</v>
      </c>
      <c r="AJ75" s="56">
        <f t="shared" si="20"/>
        <v>0</v>
      </c>
      <c r="AK75" s="56">
        <f t="shared" si="21"/>
        <v>0</v>
      </c>
      <c r="AL75" s="56">
        <f t="shared" si="22"/>
        <v>0</v>
      </c>
      <c r="AM75" s="56">
        <f t="shared" si="23"/>
        <v>0</v>
      </c>
      <c r="AN75" s="56">
        <f t="shared" si="24"/>
        <v>0</v>
      </c>
      <c r="AO75" s="58">
        <f t="shared" si="25"/>
        <v>1</v>
      </c>
      <c r="AP75" s="69"/>
      <c r="AQ75" s="40">
        <f t="shared" si="14"/>
        <v>1</v>
      </c>
      <c r="AR75" s="40">
        <v>0</v>
      </c>
      <c r="AS75" s="31">
        <v>0</v>
      </c>
      <c r="AT75" s="31">
        <v>0</v>
      </c>
      <c r="AU75" s="31">
        <v>0</v>
      </c>
      <c r="AV75" s="39">
        <v>0</v>
      </c>
      <c r="AW75" s="31"/>
      <c r="AX75" s="31"/>
      <c r="AY75" s="31"/>
      <c r="AZ75" s="31"/>
      <c r="BA75" s="39"/>
      <c r="BB75" s="152">
        <f t="shared" si="26"/>
        <v>0</v>
      </c>
      <c r="BC75" s="43">
        <v>519011</v>
      </c>
      <c r="BD75" s="43">
        <v>176963</v>
      </c>
      <c r="BE75" t="s">
        <v>1420</v>
      </c>
      <c r="BF75"/>
      <c r="BM75" t="s">
        <v>1545</v>
      </c>
      <c r="BN75" t="s">
        <v>1510</v>
      </c>
    </row>
    <row r="76" spans="1:66" s="150" customFormat="1" ht="15" customHeight="1" x14ac:dyDescent="0.25">
      <c r="A76" s="56" t="s">
        <v>949</v>
      </c>
      <c r="B76" s="19" t="s">
        <v>31</v>
      </c>
      <c r="C76" s="56"/>
      <c r="D76" s="34">
        <v>43748</v>
      </c>
      <c r="E76" s="34">
        <v>44844</v>
      </c>
      <c r="F76" s="37">
        <v>43739</v>
      </c>
      <c r="G76" s="37">
        <v>43861</v>
      </c>
      <c r="H76" s="33" t="s">
        <v>1099</v>
      </c>
      <c r="I76" s="19" t="s">
        <v>1173</v>
      </c>
      <c r="J76" s="19"/>
      <c r="K76" s="56" t="s">
        <v>950</v>
      </c>
      <c r="L76" s="57" t="s">
        <v>951</v>
      </c>
      <c r="M76" s="56" t="s">
        <v>207</v>
      </c>
      <c r="N76" s="56"/>
      <c r="O76" s="56"/>
      <c r="P76" s="56"/>
      <c r="Q76" s="56"/>
      <c r="R76" s="56"/>
      <c r="S76" s="56"/>
      <c r="T76" s="56"/>
      <c r="U76" s="56"/>
      <c r="V76" s="56">
        <f t="shared" si="15"/>
        <v>0</v>
      </c>
      <c r="W76" s="56"/>
      <c r="X76" s="56">
        <v>1</v>
      </c>
      <c r="Y76" s="56"/>
      <c r="Z76" s="56"/>
      <c r="AA76" s="56"/>
      <c r="AB76" s="56"/>
      <c r="AC76" s="56"/>
      <c r="AD76" s="56"/>
      <c r="AE76" s="56"/>
      <c r="AF76" s="56">
        <f t="shared" si="16"/>
        <v>1</v>
      </c>
      <c r="AG76" s="56">
        <f t="shared" si="17"/>
        <v>1</v>
      </c>
      <c r="AH76" s="56">
        <f t="shared" si="18"/>
        <v>0</v>
      </c>
      <c r="AI76" s="56">
        <f t="shared" si="19"/>
        <v>0</v>
      </c>
      <c r="AJ76" s="56">
        <f t="shared" si="20"/>
        <v>0</v>
      </c>
      <c r="AK76" s="56">
        <f t="shared" si="21"/>
        <v>0</v>
      </c>
      <c r="AL76" s="56">
        <f t="shared" si="22"/>
        <v>0</v>
      </c>
      <c r="AM76" s="56">
        <f t="shared" si="23"/>
        <v>0</v>
      </c>
      <c r="AN76" s="56">
        <f t="shared" si="24"/>
        <v>0</v>
      </c>
      <c r="AO76" s="58">
        <f t="shared" si="25"/>
        <v>1</v>
      </c>
      <c r="AP76" s="69"/>
      <c r="AQ76" s="40">
        <f t="shared" si="14"/>
        <v>1</v>
      </c>
      <c r="AR76" s="40">
        <v>0</v>
      </c>
      <c r="AS76" s="31">
        <v>0</v>
      </c>
      <c r="AT76" s="31">
        <v>0</v>
      </c>
      <c r="AU76" s="31">
        <v>0</v>
      </c>
      <c r="AV76" s="39">
        <v>0</v>
      </c>
      <c r="AW76" s="31"/>
      <c r="AX76" s="31"/>
      <c r="AY76" s="31"/>
      <c r="AZ76" s="31"/>
      <c r="BA76" s="39"/>
      <c r="BB76" s="152">
        <f t="shared" si="26"/>
        <v>0</v>
      </c>
      <c r="BC76" s="43">
        <v>516817</v>
      </c>
      <c r="BD76" s="43">
        <v>174222</v>
      </c>
      <c r="BE76" t="s">
        <v>1488</v>
      </c>
      <c r="BF76"/>
      <c r="BG76"/>
      <c r="BH76"/>
      <c r="BI76" t="s">
        <v>1551</v>
      </c>
      <c r="BJ76" t="s">
        <v>1499</v>
      </c>
      <c r="BK76"/>
      <c r="BL76"/>
      <c r="BM76" t="s">
        <v>1545</v>
      </c>
      <c r="BN76" t="s">
        <v>1500</v>
      </c>
    </row>
    <row r="77" spans="1:66" ht="15" customHeight="1" x14ac:dyDescent="0.25">
      <c r="A77" s="56" t="s">
        <v>956</v>
      </c>
      <c r="B77" s="19" t="s">
        <v>38</v>
      </c>
      <c r="C77" s="56"/>
      <c r="D77" s="34">
        <v>43627</v>
      </c>
      <c r="E77" s="34">
        <v>43627</v>
      </c>
      <c r="F77" s="34">
        <v>43627</v>
      </c>
      <c r="G77" s="34">
        <v>43627</v>
      </c>
      <c r="H77" s="33" t="s">
        <v>1099</v>
      </c>
      <c r="I77" s="19" t="s">
        <v>1173</v>
      </c>
      <c r="J77" s="19"/>
      <c r="K77" s="56" t="s">
        <v>957</v>
      </c>
      <c r="L77" s="57" t="s">
        <v>958</v>
      </c>
      <c r="M77" s="56" t="s">
        <v>959</v>
      </c>
      <c r="N77" s="56"/>
      <c r="O77" s="56"/>
      <c r="P77" s="56"/>
      <c r="Q77" s="56"/>
      <c r="R77" s="56"/>
      <c r="S77" s="56"/>
      <c r="T77" s="56">
        <v>1</v>
      </c>
      <c r="U77" s="56"/>
      <c r="V77" s="56">
        <f t="shared" si="15"/>
        <v>1</v>
      </c>
      <c r="W77" s="56"/>
      <c r="X77" s="56"/>
      <c r="Y77" s="56"/>
      <c r="Z77" s="56">
        <v>1</v>
      </c>
      <c r="AA77" s="56">
        <v>1</v>
      </c>
      <c r="AB77" s="56"/>
      <c r="AC77" s="56"/>
      <c r="AD77" s="56"/>
      <c r="AE77" s="56"/>
      <c r="AF77" s="56">
        <f t="shared" si="16"/>
        <v>2</v>
      </c>
      <c r="AG77" s="56">
        <f t="shared" si="17"/>
        <v>0</v>
      </c>
      <c r="AH77" s="56">
        <f t="shared" si="18"/>
        <v>0</v>
      </c>
      <c r="AI77" s="56">
        <f t="shared" si="19"/>
        <v>1</v>
      </c>
      <c r="AJ77" s="56">
        <f t="shared" si="20"/>
        <v>1</v>
      </c>
      <c r="AK77" s="56">
        <f t="shared" si="21"/>
        <v>0</v>
      </c>
      <c r="AL77" s="56">
        <f t="shared" si="22"/>
        <v>0</v>
      </c>
      <c r="AM77" s="56">
        <f t="shared" si="23"/>
        <v>-1</v>
      </c>
      <c r="AN77" s="56">
        <f t="shared" si="24"/>
        <v>0</v>
      </c>
      <c r="AO77" s="58">
        <f t="shared" si="25"/>
        <v>1</v>
      </c>
      <c r="AP77" s="69"/>
      <c r="AQ77" s="40">
        <f t="shared" si="14"/>
        <v>1</v>
      </c>
      <c r="AR77" s="40">
        <v>0</v>
      </c>
      <c r="AS77" s="31">
        <v>0</v>
      </c>
      <c r="AT77" s="31">
        <v>0</v>
      </c>
      <c r="AU77" s="31">
        <v>0</v>
      </c>
      <c r="AV77" s="39">
        <v>0</v>
      </c>
      <c r="AW77" s="31"/>
      <c r="AX77" s="31"/>
      <c r="AY77" s="31"/>
      <c r="AZ77" s="31"/>
      <c r="BA77" s="39"/>
      <c r="BB77" s="152">
        <f t="shared" si="26"/>
        <v>0</v>
      </c>
      <c r="BC77" s="43">
        <v>516873</v>
      </c>
      <c r="BD77" s="43">
        <v>173350</v>
      </c>
      <c r="BE77" t="s">
        <v>1426</v>
      </c>
      <c r="BF77"/>
      <c r="BH77" t="s">
        <v>1404</v>
      </c>
      <c r="BM77" t="s">
        <v>1545</v>
      </c>
      <c r="BN77" t="s">
        <v>1516</v>
      </c>
    </row>
    <row r="78" spans="1:66" ht="15" customHeight="1" x14ac:dyDescent="0.25">
      <c r="A78" s="56" t="s">
        <v>1020</v>
      </c>
      <c r="B78" s="19" t="s">
        <v>38</v>
      </c>
      <c r="C78" s="56"/>
      <c r="D78" s="34">
        <v>43724</v>
      </c>
      <c r="E78" s="34">
        <v>44821</v>
      </c>
      <c r="F78" s="19"/>
      <c r="G78" s="37">
        <v>43725</v>
      </c>
      <c r="H78" s="33" t="s">
        <v>1099</v>
      </c>
      <c r="I78" s="19" t="s">
        <v>1173</v>
      </c>
      <c r="J78" s="19"/>
      <c r="K78" s="56" t="s">
        <v>1021</v>
      </c>
      <c r="L78" s="57" t="s">
        <v>1022</v>
      </c>
      <c r="M78" s="56" t="s">
        <v>917</v>
      </c>
      <c r="N78" s="56">
        <v>1</v>
      </c>
      <c r="O78" s="56"/>
      <c r="P78" s="56"/>
      <c r="Q78" s="56">
        <v>1</v>
      </c>
      <c r="R78" s="56"/>
      <c r="S78" s="56"/>
      <c r="T78" s="56"/>
      <c r="U78" s="56"/>
      <c r="V78" s="56">
        <f t="shared" si="15"/>
        <v>2</v>
      </c>
      <c r="W78" s="56"/>
      <c r="X78" s="56"/>
      <c r="Y78" s="56"/>
      <c r="Z78" s="56"/>
      <c r="AA78" s="56"/>
      <c r="AB78" s="56">
        <v>1</v>
      </c>
      <c r="AC78" s="56"/>
      <c r="AD78" s="56"/>
      <c r="AE78" s="56">
        <v>0</v>
      </c>
      <c r="AF78" s="56">
        <f t="shared" si="16"/>
        <v>1</v>
      </c>
      <c r="AG78" s="56">
        <f t="shared" si="17"/>
        <v>-1</v>
      </c>
      <c r="AH78" s="56">
        <f t="shared" si="18"/>
        <v>0</v>
      </c>
      <c r="AI78" s="56">
        <f t="shared" si="19"/>
        <v>0</v>
      </c>
      <c r="AJ78" s="56">
        <f t="shared" si="20"/>
        <v>-1</v>
      </c>
      <c r="AK78" s="56">
        <f t="shared" si="21"/>
        <v>1</v>
      </c>
      <c r="AL78" s="56">
        <f t="shared" si="22"/>
        <v>0</v>
      </c>
      <c r="AM78" s="56">
        <f t="shared" si="23"/>
        <v>0</v>
      </c>
      <c r="AN78" s="56">
        <f t="shared" si="24"/>
        <v>0</v>
      </c>
      <c r="AO78" s="58">
        <f t="shared" si="25"/>
        <v>-1</v>
      </c>
      <c r="AP78" s="69"/>
      <c r="AQ78" s="40">
        <f t="shared" si="14"/>
        <v>-1</v>
      </c>
      <c r="AR78" s="40">
        <v>0</v>
      </c>
      <c r="AS78" s="31">
        <v>0</v>
      </c>
      <c r="AT78" s="31">
        <v>0</v>
      </c>
      <c r="AU78" s="31">
        <v>0</v>
      </c>
      <c r="AV78" s="39">
        <v>0</v>
      </c>
      <c r="AW78" s="31"/>
      <c r="AX78" s="31"/>
      <c r="AY78" s="31"/>
      <c r="AZ78" s="31"/>
      <c r="BA78" s="39"/>
      <c r="BB78" s="152">
        <f t="shared" si="26"/>
        <v>0</v>
      </c>
      <c r="BC78" s="43">
        <v>516420</v>
      </c>
      <c r="BD78" s="43">
        <v>171274</v>
      </c>
      <c r="BE78" t="s">
        <v>1405</v>
      </c>
      <c r="BF78"/>
    </row>
    <row r="79" spans="1:66" ht="15" customHeight="1" x14ac:dyDescent="0.25">
      <c r="A79" s="56" t="s">
        <v>1043</v>
      </c>
      <c r="B79" s="19" t="s">
        <v>31</v>
      </c>
      <c r="C79" s="56"/>
      <c r="D79" s="34">
        <v>43809</v>
      </c>
      <c r="E79" s="34">
        <v>44905</v>
      </c>
      <c r="F79" s="19"/>
      <c r="G79" s="37">
        <v>43813</v>
      </c>
      <c r="H79" s="33" t="s">
        <v>1099</v>
      </c>
      <c r="I79" s="19" t="s">
        <v>1173</v>
      </c>
      <c r="J79" s="19"/>
      <c r="K79" s="56" t="s">
        <v>1044</v>
      </c>
      <c r="L79" s="57" t="s">
        <v>1045</v>
      </c>
      <c r="M79" s="56" t="s">
        <v>1046</v>
      </c>
      <c r="N79" s="56"/>
      <c r="O79" s="56">
        <v>1</v>
      </c>
      <c r="P79" s="56"/>
      <c r="Q79" s="56"/>
      <c r="R79" s="56"/>
      <c r="S79" s="56"/>
      <c r="T79" s="56"/>
      <c r="U79" s="56"/>
      <c r="V79" s="56">
        <f t="shared" si="15"/>
        <v>1</v>
      </c>
      <c r="W79" s="56"/>
      <c r="X79" s="56"/>
      <c r="Y79" s="56"/>
      <c r="Z79" s="56"/>
      <c r="AA79" s="56"/>
      <c r="AB79" s="56"/>
      <c r="AC79" s="56"/>
      <c r="AD79" s="56"/>
      <c r="AE79" s="56"/>
      <c r="AF79" s="56">
        <f t="shared" si="16"/>
        <v>0</v>
      </c>
      <c r="AG79" s="56">
        <f t="shared" si="17"/>
        <v>0</v>
      </c>
      <c r="AH79" s="56">
        <f t="shared" si="18"/>
        <v>-1</v>
      </c>
      <c r="AI79" s="56">
        <f t="shared" si="19"/>
        <v>0</v>
      </c>
      <c r="AJ79" s="56">
        <f t="shared" si="20"/>
        <v>0</v>
      </c>
      <c r="AK79" s="56">
        <f t="shared" si="21"/>
        <v>0</v>
      </c>
      <c r="AL79" s="56">
        <f t="shared" si="22"/>
        <v>0</v>
      </c>
      <c r="AM79" s="56">
        <f t="shared" si="23"/>
        <v>0</v>
      </c>
      <c r="AN79" s="56">
        <f t="shared" si="24"/>
        <v>0</v>
      </c>
      <c r="AO79" s="58">
        <f t="shared" si="25"/>
        <v>-1</v>
      </c>
      <c r="AP79" s="69"/>
      <c r="AQ79" s="40">
        <f t="shared" si="14"/>
        <v>-1</v>
      </c>
      <c r="AR79" s="40">
        <v>0</v>
      </c>
      <c r="AS79" s="31">
        <v>0</v>
      </c>
      <c r="AT79" s="31">
        <v>0</v>
      </c>
      <c r="AU79" s="31">
        <v>0</v>
      </c>
      <c r="AV79" s="39">
        <v>0</v>
      </c>
      <c r="AW79" s="31"/>
      <c r="AX79" s="31"/>
      <c r="AY79" s="31"/>
      <c r="AZ79" s="31"/>
      <c r="BA79" s="39"/>
      <c r="BB79" s="152">
        <f t="shared" si="26"/>
        <v>0</v>
      </c>
      <c r="BC79" s="43">
        <v>513192</v>
      </c>
      <c r="BD79" s="43">
        <v>171188</v>
      </c>
      <c r="BE79" t="s">
        <v>1416</v>
      </c>
      <c r="BF79"/>
    </row>
    <row r="80" spans="1:66" ht="15" customHeight="1" x14ac:dyDescent="0.25">
      <c r="A80" s="56" t="s">
        <v>1062</v>
      </c>
      <c r="B80" s="19" t="s">
        <v>43</v>
      </c>
      <c r="C80" s="56"/>
      <c r="D80" s="34">
        <v>43903</v>
      </c>
      <c r="E80" s="34">
        <v>45001</v>
      </c>
      <c r="F80" s="34">
        <v>43906</v>
      </c>
      <c r="G80" s="34">
        <v>43906</v>
      </c>
      <c r="H80" s="58" t="s">
        <v>1099</v>
      </c>
      <c r="I80" s="19" t="s">
        <v>1173</v>
      </c>
      <c r="J80" s="19"/>
      <c r="K80" s="56" t="s">
        <v>1063</v>
      </c>
      <c r="L80" s="57" t="s">
        <v>1064</v>
      </c>
      <c r="M80" s="56" t="s">
        <v>691</v>
      </c>
      <c r="N80" s="56"/>
      <c r="O80" s="56"/>
      <c r="P80" s="56"/>
      <c r="Q80" s="56"/>
      <c r="R80" s="56"/>
      <c r="S80" s="56"/>
      <c r="T80" s="56"/>
      <c r="U80" s="56"/>
      <c r="V80" s="56">
        <f t="shared" si="15"/>
        <v>0</v>
      </c>
      <c r="W80" s="56"/>
      <c r="X80" s="56">
        <v>1</v>
      </c>
      <c r="Y80" s="56"/>
      <c r="Z80" s="56"/>
      <c r="AA80" s="56"/>
      <c r="AB80" s="56"/>
      <c r="AC80" s="56"/>
      <c r="AD80" s="56"/>
      <c r="AE80" s="56"/>
      <c r="AF80" s="56">
        <f t="shared" si="16"/>
        <v>1</v>
      </c>
      <c r="AG80" s="56">
        <f t="shared" si="17"/>
        <v>1</v>
      </c>
      <c r="AH80" s="56">
        <f t="shared" si="18"/>
        <v>0</v>
      </c>
      <c r="AI80" s="56">
        <f t="shared" si="19"/>
        <v>0</v>
      </c>
      <c r="AJ80" s="56">
        <f t="shared" si="20"/>
        <v>0</v>
      </c>
      <c r="AK80" s="56">
        <f t="shared" si="21"/>
        <v>0</v>
      </c>
      <c r="AL80" s="56">
        <f t="shared" si="22"/>
        <v>0</v>
      </c>
      <c r="AM80" s="56">
        <f t="shared" si="23"/>
        <v>0</v>
      </c>
      <c r="AN80" s="56">
        <f t="shared" si="24"/>
        <v>0</v>
      </c>
      <c r="AO80" s="58">
        <f t="shared" si="25"/>
        <v>1</v>
      </c>
      <c r="AP80" s="69"/>
      <c r="AQ80" s="40">
        <f t="shared" si="14"/>
        <v>1</v>
      </c>
      <c r="AR80" s="40">
        <v>0</v>
      </c>
      <c r="AS80" s="31">
        <v>0</v>
      </c>
      <c r="AT80" s="31">
        <v>0</v>
      </c>
      <c r="AU80" s="31">
        <v>0</v>
      </c>
      <c r="AV80" s="39">
        <v>0</v>
      </c>
      <c r="AW80" s="31"/>
      <c r="AX80" s="31"/>
      <c r="AY80" s="31"/>
      <c r="AZ80" s="31"/>
      <c r="BA80" s="39"/>
      <c r="BB80" s="152">
        <f t="shared" si="26"/>
        <v>0</v>
      </c>
      <c r="BC80" s="43">
        <v>513712</v>
      </c>
      <c r="BD80" s="43">
        <v>172398</v>
      </c>
      <c r="BE80" t="s">
        <v>1427</v>
      </c>
      <c r="BF80"/>
    </row>
    <row r="81" spans="1:66" ht="15" customHeight="1" x14ac:dyDescent="0.25">
      <c r="A81" s="56" t="s">
        <v>1069</v>
      </c>
      <c r="B81" s="19" t="s">
        <v>31</v>
      </c>
      <c r="C81" s="56"/>
      <c r="D81" s="34">
        <v>43850</v>
      </c>
      <c r="E81" s="34">
        <v>43850</v>
      </c>
      <c r="F81" s="19"/>
      <c r="G81" s="34">
        <v>43850</v>
      </c>
      <c r="H81" s="33" t="s">
        <v>1099</v>
      </c>
      <c r="I81" s="19" t="s">
        <v>1173</v>
      </c>
      <c r="J81" s="19"/>
      <c r="K81" s="56" t="s">
        <v>1070</v>
      </c>
      <c r="L81" s="57" t="s">
        <v>1071</v>
      </c>
      <c r="M81" s="56" t="s">
        <v>1072</v>
      </c>
      <c r="N81" s="56"/>
      <c r="O81" s="56"/>
      <c r="P81" s="56">
        <v>1</v>
      </c>
      <c r="Q81" s="56"/>
      <c r="R81" s="56"/>
      <c r="S81" s="56"/>
      <c r="T81" s="56"/>
      <c r="U81" s="56"/>
      <c r="V81" s="56">
        <f t="shared" si="15"/>
        <v>1</v>
      </c>
      <c r="W81" s="56"/>
      <c r="X81" s="56"/>
      <c r="Y81" s="56"/>
      <c r="Z81" s="56"/>
      <c r="AA81" s="56"/>
      <c r="AB81" s="56"/>
      <c r="AC81" s="56"/>
      <c r="AD81" s="56"/>
      <c r="AE81" s="56"/>
      <c r="AF81" s="56">
        <f t="shared" si="16"/>
        <v>0</v>
      </c>
      <c r="AG81" s="56">
        <f t="shared" si="17"/>
        <v>0</v>
      </c>
      <c r="AH81" s="56">
        <f t="shared" si="18"/>
        <v>0</v>
      </c>
      <c r="AI81" s="56">
        <f t="shared" si="19"/>
        <v>-1</v>
      </c>
      <c r="AJ81" s="56">
        <f t="shared" si="20"/>
        <v>0</v>
      </c>
      <c r="AK81" s="56">
        <f t="shared" si="21"/>
        <v>0</v>
      </c>
      <c r="AL81" s="56">
        <f t="shared" si="22"/>
        <v>0</v>
      </c>
      <c r="AM81" s="56">
        <f t="shared" si="23"/>
        <v>0</v>
      </c>
      <c r="AN81" s="56">
        <f t="shared" si="24"/>
        <v>0</v>
      </c>
      <c r="AO81" s="58">
        <f t="shared" si="25"/>
        <v>-1</v>
      </c>
      <c r="AP81" s="248"/>
      <c r="AQ81" s="40">
        <f t="shared" si="14"/>
        <v>-1</v>
      </c>
      <c r="AR81" s="40">
        <v>0</v>
      </c>
      <c r="AS81" s="31">
        <v>0</v>
      </c>
      <c r="AT81" s="31">
        <v>0</v>
      </c>
      <c r="AU81" s="31">
        <v>0</v>
      </c>
      <c r="AV81" s="39">
        <v>0</v>
      </c>
      <c r="AW81" s="31"/>
      <c r="AX81" s="31"/>
      <c r="AY81" s="31"/>
      <c r="AZ81" s="31"/>
      <c r="BA81" s="39"/>
      <c r="BB81" s="152">
        <f t="shared" si="26"/>
        <v>0</v>
      </c>
      <c r="BC81" s="43">
        <v>512883</v>
      </c>
      <c r="BD81" s="43">
        <v>173656</v>
      </c>
      <c r="BE81" s="150" t="s">
        <v>1419</v>
      </c>
      <c r="BF81" s="150"/>
      <c r="BG81" s="150"/>
      <c r="BH81" s="150"/>
      <c r="BI81" s="150"/>
      <c r="BJ81" s="150"/>
      <c r="BK81" s="150"/>
      <c r="BL81" s="150"/>
      <c r="BM81" s="150"/>
      <c r="BN81" s="150"/>
    </row>
    <row r="82" spans="1:66" ht="15" customHeight="1" x14ac:dyDescent="0.25">
      <c r="A82" s="56" t="s">
        <v>1073</v>
      </c>
      <c r="B82" s="19" t="s">
        <v>38</v>
      </c>
      <c r="C82" s="56"/>
      <c r="D82" s="34">
        <v>43861</v>
      </c>
      <c r="E82" s="34">
        <v>43861</v>
      </c>
      <c r="F82" s="19"/>
      <c r="G82" s="34">
        <v>43861</v>
      </c>
      <c r="H82" s="33" t="s">
        <v>1099</v>
      </c>
      <c r="I82" s="19" t="s">
        <v>1173</v>
      </c>
      <c r="J82" s="19"/>
      <c r="K82" s="56" t="s">
        <v>1074</v>
      </c>
      <c r="L82" s="57" t="s">
        <v>1075</v>
      </c>
      <c r="M82" s="56" t="s">
        <v>1076</v>
      </c>
      <c r="N82" s="56"/>
      <c r="O82" s="56"/>
      <c r="P82" s="56"/>
      <c r="Q82" s="56"/>
      <c r="R82" s="56"/>
      <c r="S82" s="56"/>
      <c r="T82" s="56"/>
      <c r="U82" s="56"/>
      <c r="V82" s="56">
        <f t="shared" si="15"/>
        <v>0</v>
      </c>
      <c r="W82" s="56"/>
      <c r="X82" s="56">
        <v>1</v>
      </c>
      <c r="Y82" s="56"/>
      <c r="Z82" s="56"/>
      <c r="AA82" s="56"/>
      <c r="AB82" s="56"/>
      <c r="AC82" s="56"/>
      <c r="AD82" s="56"/>
      <c r="AE82" s="56"/>
      <c r="AF82" s="56">
        <f t="shared" si="16"/>
        <v>1</v>
      </c>
      <c r="AG82" s="56">
        <f t="shared" si="17"/>
        <v>1</v>
      </c>
      <c r="AH82" s="56">
        <f t="shared" si="18"/>
        <v>0</v>
      </c>
      <c r="AI82" s="56">
        <f t="shared" si="19"/>
        <v>0</v>
      </c>
      <c r="AJ82" s="56">
        <f t="shared" si="20"/>
        <v>0</v>
      </c>
      <c r="AK82" s="56">
        <f t="shared" si="21"/>
        <v>0</v>
      </c>
      <c r="AL82" s="56">
        <f t="shared" si="22"/>
        <v>0</v>
      </c>
      <c r="AM82" s="56">
        <f t="shared" si="23"/>
        <v>0</v>
      </c>
      <c r="AN82" s="56">
        <f t="shared" si="24"/>
        <v>0</v>
      </c>
      <c r="AO82" s="58">
        <f t="shared" si="25"/>
        <v>1</v>
      </c>
      <c r="AP82" s="69"/>
      <c r="AQ82" s="40">
        <f t="shared" si="14"/>
        <v>1</v>
      </c>
      <c r="AR82" s="40">
        <v>0</v>
      </c>
      <c r="AS82" s="31">
        <v>0</v>
      </c>
      <c r="AT82" s="31">
        <v>0</v>
      </c>
      <c r="AU82" s="31">
        <v>0</v>
      </c>
      <c r="AV82" s="39">
        <v>0</v>
      </c>
      <c r="AW82" s="31"/>
      <c r="AX82" s="31"/>
      <c r="AY82" s="31"/>
      <c r="AZ82" s="31"/>
      <c r="BA82" s="39"/>
      <c r="BB82" s="152">
        <f t="shared" si="26"/>
        <v>0</v>
      </c>
      <c r="BC82" s="43">
        <v>516930</v>
      </c>
      <c r="BD82" s="43">
        <v>173775</v>
      </c>
      <c r="BE82" t="s">
        <v>1426</v>
      </c>
      <c r="BF82"/>
      <c r="BM82" t="s">
        <v>1545</v>
      </c>
      <c r="BN82" t="s">
        <v>1516</v>
      </c>
    </row>
    <row r="83" spans="1:66" ht="15" customHeight="1" x14ac:dyDescent="0.25">
      <c r="A83" s="56" t="s">
        <v>1081</v>
      </c>
      <c r="B83" s="19" t="s">
        <v>31</v>
      </c>
      <c r="C83" s="56"/>
      <c r="D83" s="34">
        <v>43886</v>
      </c>
      <c r="E83" s="34">
        <v>43886</v>
      </c>
      <c r="F83" s="19"/>
      <c r="G83" s="37">
        <v>43886</v>
      </c>
      <c r="H83" s="58" t="s">
        <v>1099</v>
      </c>
      <c r="I83" s="19" t="s">
        <v>1173</v>
      </c>
      <c r="J83" s="19"/>
      <c r="K83" s="56" t="s">
        <v>1082</v>
      </c>
      <c r="L83" s="57" t="s">
        <v>1083</v>
      </c>
      <c r="M83" s="56" t="s">
        <v>1084</v>
      </c>
      <c r="N83" s="56"/>
      <c r="O83" s="56"/>
      <c r="P83" s="56"/>
      <c r="Q83" s="56"/>
      <c r="R83" s="56"/>
      <c r="S83" s="56"/>
      <c r="T83" s="56"/>
      <c r="U83" s="56"/>
      <c r="V83" s="56">
        <f t="shared" si="15"/>
        <v>0</v>
      </c>
      <c r="W83" s="56"/>
      <c r="X83" s="56"/>
      <c r="Y83" s="56">
        <v>1</v>
      </c>
      <c r="Z83" s="56"/>
      <c r="AA83" s="56"/>
      <c r="AB83" s="56"/>
      <c r="AC83" s="56"/>
      <c r="AD83" s="56"/>
      <c r="AE83" s="56"/>
      <c r="AF83" s="56">
        <f t="shared" si="16"/>
        <v>1</v>
      </c>
      <c r="AG83" s="56">
        <f t="shared" si="17"/>
        <v>0</v>
      </c>
      <c r="AH83" s="56">
        <f t="shared" si="18"/>
        <v>1</v>
      </c>
      <c r="AI83" s="56">
        <f t="shared" si="19"/>
        <v>0</v>
      </c>
      <c r="AJ83" s="56">
        <f t="shared" si="20"/>
        <v>0</v>
      </c>
      <c r="AK83" s="56">
        <f t="shared" si="21"/>
        <v>0</v>
      </c>
      <c r="AL83" s="56">
        <f t="shared" si="22"/>
        <v>0</v>
      </c>
      <c r="AM83" s="56">
        <f t="shared" si="23"/>
        <v>0</v>
      </c>
      <c r="AN83" s="56">
        <f t="shared" si="24"/>
        <v>0</v>
      </c>
      <c r="AO83" s="58">
        <f t="shared" si="25"/>
        <v>1</v>
      </c>
      <c r="AP83" s="69"/>
      <c r="AQ83" s="40">
        <f t="shared" si="14"/>
        <v>1</v>
      </c>
      <c r="AR83" s="40">
        <v>0</v>
      </c>
      <c r="AS83" s="31">
        <v>0</v>
      </c>
      <c r="AT83" s="31">
        <v>0</v>
      </c>
      <c r="AU83" s="31">
        <v>0</v>
      </c>
      <c r="AV83" s="39">
        <v>0</v>
      </c>
      <c r="AW83" s="31"/>
      <c r="AX83" s="31"/>
      <c r="AY83" s="31"/>
      <c r="AZ83" s="31"/>
      <c r="BA83" s="39"/>
      <c r="BB83" s="152">
        <f t="shared" si="26"/>
        <v>0</v>
      </c>
      <c r="BC83" s="43">
        <v>513949</v>
      </c>
      <c r="BD83" s="43">
        <v>169534</v>
      </c>
      <c r="BE83" t="s">
        <v>1417</v>
      </c>
      <c r="BF83"/>
      <c r="BI83" t="s">
        <v>1551</v>
      </c>
      <c r="BJ83" t="s">
        <v>1517</v>
      </c>
      <c r="BM83" t="s">
        <v>1545</v>
      </c>
      <c r="BN83" t="s">
        <v>1502</v>
      </c>
    </row>
    <row r="84" spans="1:66" s="150" customFormat="1" ht="15" customHeight="1" x14ac:dyDescent="0.25">
      <c r="A84" s="56" t="s">
        <v>1097</v>
      </c>
      <c r="B84" s="19" t="s">
        <v>20</v>
      </c>
      <c r="C84" s="56"/>
      <c r="D84" s="34">
        <v>36559</v>
      </c>
      <c r="E84" s="34">
        <v>38386</v>
      </c>
      <c r="F84" s="34">
        <v>38366</v>
      </c>
      <c r="G84" s="34">
        <v>43664</v>
      </c>
      <c r="H84" s="33" t="s">
        <v>1099</v>
      </c>
      <c r="I84" s="19" t="s">
        <v>1173</v>
      </c>
      <c r="J84" s="19"/>
      <c r="K84" s="56" t="s">
        <v>1608</v>
      </c>
      <c r="L84" s="57" t="s">
        <v>1098</v>
      </c>
      <c r="M84" s="56"/>
      <c r="N84" s="56"/>
      <c r="O84" s="56"/>
      <c r="P84" s="56"/>
      <c r="Q84" s="56"/>
      <c r="R84" s="56"/>
      <c r="S84" s="56"/>
      <c r="T84" s="56"/>
      <c r="U84" s="56"/>
      <c r="V84" s="56">
        <f t="shared" si="15"/>
        <v>0</v>
      </c>
      <c r="W84" s="56"/>
      <c r="X84" s="56">
        <v>1</v>
      </c>
      <c r="Y84" s="56"/>
      <c r="Z84" s="56"/>
      <c r="AA84" s="56"/>
      <c r="AB84" s="56"/>
      <c r="AC84" s="56"/>
      <c r="AD84" s="56"/>
      <c r="AE84" s="56">
        <v>0</v>
      </c>
      <c r="AF84" s="56">
        <f t="shared" si="16"/>
        <v>1</v>
      </c>
      <c r="AG84" s="56">
        <f t="shared" si="17"/>
        <v>1</v>
      </c>
      <c r="AH84" s="56">
        <f t="shared" si="18"/>
        <v>0</v>
      </c>
      <c r="AI84" s="56">
        <f t="shared" si="19"/>
        <v>0</v>
      </c>
      <c r="AJ84" s="56">
        <f t="shared" si="20"/>
        <v>0</v>
      </c>
      <c r="AK84" s="56">
        <f t="shared" si="21"/>
        <v>0</v>
      </c>
      <c r="AL84" s="56">
        <f t="shared" si="22"/>
        <v>0</v>
      </c>
      <c r="AM84" s="56">
        <f t="shared" si="23"/>
        <v>0</v>
      </c>
      <c r="AN84" s="56">
        <f t="shared" si="24"/>
        <v>0</v>
      </c>
      <c r="AO84" s="58">
        <f t="shared" si="25"/>
        <v>1</v>
      </c>
      <c r="AP84" s="69"/>
      <c r="AQ84" s="40">
        <f t="shared" si="14"/>
        <v>1</v>
      </c>
      <c r="AR84" s="40">
        <v>0</v>
      </c>
      <c r="AS84" s="31">
        <v>0</v>
      </c>
      <c r="AT84" s="31">
        <v>0</v>
      </c>
      <c r="AU84" s="31">
        <v>0</v>
      </c>
      <c r="AV84" s="39">
        <v>0</v>
      </c>
      <c r="AW84" s="31"/>
      <c r="AX84" s="31"/>
      <c r="AY84" s="31"/>
      <c r="AZ84" s="31"/>
      <c r="BA84" s="39"/>
      <c r="BB84" s="152">
        <f t="shared" si="26"/>
        <v>0</v>
      </c>
      <c r="BC84" s="43">
        <v>522457</v>
      </c>
      <c r="BD84" s="43">
        <v>177328</v>
      </c>
      <c r="BE84" t="s">
        <v>1414</v>
      </c>
      <c r="BF84"/>
      <c r="BG84"/>
      <c r="BH84"/>
      <c r="BI84"/>
      <c r="BJ84"/>
      <c r="BK84"/>
      <c r="BL84"/>
      <c r="BM84"/>
      <c r="BN84"/>
    </row>
    <row r="85" spans="1:66" ht="15" customHeight="1" x14ac:dyDescent="0.25">
      <c r="A85" s="56" t="s">
        <v>1596</v>
      </c>
      <c r="B85" s="56" t="s">
        <v>20</v>
      </c>
      <c r="C85" s="56"/>
      <c r="D85" s="34">
        <v>41583</v>
      </c>
      <c r="E85" s="34">
        <v>42679</v>
      </c>
      <c r="F85" s="34">
        <v>42596</v>
      </c>
      <c r="G85" s="34"/>
      <c r="H85" s="33" t="s">
        <v>1101</v>
      </c>
      <c r="I85" s="19" t="s">
        <v>1173</v>
      </c>
      <c r="J85" s="19"/>
      <c r="K85" s="56" t="s">
        <v>1597</v>
      </c>
      <c r="L85" s="57" t="s">
        <v>1598</v>
      </c>
      <c r="M85" s="56" t="s">
        <v>1599</v>
      </c>
      <c r="N85" s="56"/>
      <c r="O85" s="56"/>
      <c r="P85" s="56"/>
      <c r="Q85" s="56"/>
      <c r="R85" s="56"/>
      <c r="S85" s="56"/>
      <c r="T85" s="56"/>
      <c r="U85" s="56"/>
      <c r="V85" s="56">
        <f t="shared" si="15"/>
        <v>0</v>
      </c>
      <c r="W85" s="56"/>
      <c r="X85" s="56"/>
      <c r="Y85" s="56"/>
      <c r="Z85" s="56">
        <v>2</v>
      </c>
      <c r="AA85" s="56"/>
      <c r="AB85" s="56"/>
      <c r="AC85" s="56"/>
      <c r="AD85" s="56"/>
      <c r="AE85" s="56"/>
      <c r="AF85" s="56">
        <f t="shared" si="16"/>
        <v>2</v>
      </c>
      <c r="AG85" s="56">
        <f t="shared" si="17"/>
        <v>0</v>
      </c>
      <c r="AH85" s="56">
        <f t="shared" si="18"/>
        <v>0</v>
      </c>
      <c r="AI85" s="56">
        <f t="shared" si="19"/>
        <v>2</v>
      </c>
      <c r="AJ85" s="56">
        <f t="shared" si="20"/>
        <v>0</v>
      </c>
      <c r="AK85" s="56">
        <f t="shared" si="21"/>
        <v>0</v>
      </c>
      <c r="AL85" s="56">
        <f t="shared" si="22"/>
        <v>0</v>
      </c>
      <c r="AM85" s="56">
        <f t="shared" si="23"/>
        <v>0</v>
      </c>
      <c r="AN85" s="56">
        <f t="shared" si="24"/>
        <v>0</v>
      </c>
      <c r="AO85" s="58">
        <f t="shared" si="25"/>
        <v>2</v>
      </c>
      <c r="AP85" s="248"/>
      <c r="AQ85" s="40">
        <v>0</v>
      </c>
      <c r="AR85" s="40">
        <f>$AO85</f>
        <v>2</v>
      </c>
      <c r="AS85" s="31">
        <v>0</v>
      </c>
      <c r="AT85" s="31">
        <v>0</v>
      </c>
      <c r="AU85" s="31">
        <v>0</v>
      </c>
      <c r="AV85" s="39">
        <v>0</v>
      </c>
      <c r="AW85" s="31"/>
      <c r="AX85" s="31"/>
      <c r="AY85" s="31"/>
      <c r="AZ85" s="31"/>
      <c r="BA85" s="39"/>
      <c r="BB85" s="152">
        <f t="shared" si="26"/>
        <v>2</v>
      </c>
      <c r="BC85" s="43">
        <v>515074</v>
      </c>
      <c r="BD85" s="43">
        <v>171654</v>
      </c>
      <c r="BE85" s="150" t="s">
        <v>1458</v>
      </c>
      <c r="BF85" s="150"/>
      <c r="BG85" s="150"/>
      <c r="BH85" s="150"/>
      <c r="BI85" s="150"/>
      <c r="BJ85" s="150"/>
      <c r="BK85" s="150"/>
      <c r="BL85" s="150"/>
      <c r="BM85" s="150"/>
      <c r="BN85" s="150"/>
    </row>
    <row r="86" spans="1:66" ht="15" customHeight="1" x14ac:dyDescent="0.25">
      <c r="A86" s="56" t="s">
        <v>1600</v>
      </c>
      <c r="B86" s="19" t="s">
        <v>20</v>
      </c>
      <c r="C86" s="56"/>
      <c r="D86" s="34">
        <v>43867</v>
      </c>
      <c r="E86" s="34">
        <v>44963</v>
      </c>
      <c r="F86" s="37">
        <v>44095</v>
      </c>
      <c r="G86" s="34"/>
      <c r="H86" s="33" t="s">
        <v>1101</v>
      </c>
      <c r="I86" s="19" t="s">
        <v>1173</v>
      </c>
      <c r="J86" s="19"/>
      <c r="K86" s="56" t="s">
        <v>1601</v>
      </c>
      <c r="L86" s="57" t="s">
        <v>1602</v>
      </c>
      <c r="M86" s="56" t="s">
        <v>1603</v>
      </c>
      <c r="N86" s="56"/>
      <c r="O86" s="56"/>
      <c r="P86" s="56"/>
      <c r="Q86" s="56"/>
      <c r="R86" s="56"/>
      <c r="S86" s="56"/>
      <c r="T86" s="56"/>
      <c r="U86" s="56"/>
      <c r="V86" s="56">
        <f t="shared" si="15"/>
        <v>0</v>
      </c>
      <c r="W86" s="56"/>
      <c r="X86" s="56">
        <v>6</v>
      </c>
      <c r="Y86" s="56">
        <v>2</v>
      </c>
      <c r="Z86" s="56"/>
      <c r="AA86" s="56"/>
      <c r="AB86" s="56"/>
      <c r="AC86" s="56"/>
      <c r="AD86" s="56"/>
      <c r="AE86" s="56"/>
      <c r="AF86" s="56">
        <f t="shared" si="16"/>
        <v>8</v>
      </c>
      <c r="AG86" s="56">
        <f t="shared" si="17"/>
        <v>6</v>
      </c>
      <c r="AH86" s="56">
        <f t="shared" si="18"/>
        <v>2</v>
      </c>
      <c r="AI86" s="56">
        <f t="shared" si="19"/>
        <v>0</v>
      </c>
      <c r="AJ86" s="56">
        <f t="shared" si="20"/>
        <v>0</v>
      </c>
      <c r="AK86" s="56">
        <f t="shared" si="21"/>
        <v>0</v>
      </c>
      <c r="AL86" s="56">
        <f t="shared" si="22"/>
        <v>0</v>
      </c>
      <c r="AM86" s="56">
        <f t="shared" si="23"/>
        <v>0</v>
      </c>
      <c r="AN86" s="56">
        <f t="shared" si="24"/>
        <v>0</v>
      </c>
      <c r="AO86" s="58">
        <f t="shared" si="25"/>
        <v>8</v>
      </c>
      <c r="AP86" s="248"/>
      <c r="AQ86" s="40">
        <v>0</v>
      </c>
      <c r="AR86" s="40">
        <v>4</v>
      </c>
      <c r="AS86" s="31">
        <f>$AO86/2</f>
        <v>4</v>
      </c>
      <c r="AT86" s="31">
        <v>0</v>
      </c>
      <c r="AU86" s="31">
        <v>0</v>
      </c>
      <c r="AV86" s="39">
        <v>0</v>
      </c>
      <c r="AW86" s="31"/>
      <c r="AX86" s="31"/>
      <c r="AY86" s="31"/>
      <c r="AZ86" s="31"/>
      <c r="BA86" s="39"/>
      <c r="BB86" s="152">
        <f t="shared" si="26"/>
        <v>8</v>
      </c>
      <c r="BC86" s="43">
        <v>519026</v>
      </c>
      <c r="BD86" s="43">
        <v>175926</v>
      </c>
      <c r="BE86" s="150" t="s">
        <v>1420</v>
      </c>
      <c r="BF86" s="150"/>
      <c r="BG86" s="150"/>
      <c r="BH86" s="150"/>
      <c r="BI86" s="150"/>
      <c r="BJ86" s="150"/>
      <c r="BK86" s="150"/>
      <c r="BL86" s="150"/>
      <c r="BM86" s="150"/>
      <c r="BN86" s="150"/>
    </row>
    <row r="87" spans="1:66" ht="15" customHeight="1" x14ac:dyDescent="0.25">
      <c r="A87" s="56" t="s">
        <v>1027</v>
      </c>
      <c r="B87" s="19" t="s">
        <v>38</v>
      </c>
      <c r="C87" s="56"/>
      <c r="D87" s="34">
        <v>43760</v>
      </c>
      <c r="E87" s="34">
        <v>44856</v>
      </c>
      <c r="F87" s="19"/>
      <c r="G87" s="37">
        <v>43997</v>
      </c>
      <c r="H87" s="59" t="s">
        <v>1101</v>
      </c>
      <c r="I87" s="19" t="s">
        <v>1173</v>
      </c>
      <c r="J87" s="19"/>
      <c r="K87" s="56" t="s">
        <v>1028</v>
      </c>
      <c r="L87" s="57" t="s">
        <v>1029</v>
      </c>
      <c r="M87" s="56" t="s">
        <v>1030</v>
      </c>
      <c r="N87" s="56"/>
      <c r="O87" s="56"/>
      <c r="P87" s="56">
        <v>2</v>
      </c>
      <c r="Q87" s="56"/>
      <c r="R87" s="56"/>
      <c r="S87" s="56"/>
      <c r="T87" s="56"/>
      <c r="U87" s="56"/>
      <c r="V87" s="56">
        <f t="shared" si="15"/>
        <v>2</v>
      </c>
      <c r="W87" s="56"/>
      <c r="X87" s="56"/>
      <c r="Y87" s="56"/>
      <c r="Z87" s="56"/>
      <c r="AA87" s="56">
        <v>1</v>
      </c>
      <c r="AB87" s="56"/>
      <c r="AC87" s="56"/>
      <c r="AD87" s="56"/>
      <c r="AE87" s="56"/>
      <c r="AF87" s="56">
        <f t="shared" si="16"/>
        <v>1</v>
      </c>
      <c r="AG87" s="56">
        <f t="shared" si="17"/>
        <v>0</v>
      </c>
      <c r="AH87" s="56">
        <f t="shared" si="18"/>
        <v>0</v>
      </c>
      <c r="AI87" s="56">
        <f t="shared" si="19"/>
        <v>-2</v>
      </c>
      <c r="AJ87" s="56">
        <f t="shared" si="20"/>
        <v>1</v>
      </c>
      <c r="AK87" s="56">
        <f t="shared" si="21"/>
        <v>0</v>
      </c>
      <c r="AL87" s="56">
        <f t="shared" si="22"/>
        <v>0</v>
      </c>
      <c r="AM87" s="56">
        <f t="shared" si="23"/>
        <v>0</v>
      </c>
      <c r="AN87" s="56">
        <f t="shared" si="24"/>
        <v>0</v>
      </c>
      <c r="AO87" s="58">
        <f t="shared" si="25"/>
        <v>-1</v>
      </c>
      <c r="AP87" s="69"/>
      <c r="AQ87" s="40">
        <v>0</v>
      </c>
      <c r="AR87" s="40">
        <f>AO87</f>
        <v>-1</v>
      </c>
      <c r="AS87" s="31">
        <v>0</v>
      </c>
      <c r="AT87" s="31">
        <v>0</v>
      </c>
      <c r="AU87" s="31">
        <v>0</v>
      </c>
      <c r="AV87" s="39">
        <v>0</v>
      </c>
      <c r="AW87" s="31"/>
      <c r="AX87" s="31"/>
      <c r="AY87" s="31"/>
      <c r="AZ87" s="31"/>
      <c r="BA87" s="39"/>
      <c r="BB87" s="152">
        <f t="shared" si="26"/>
        <v>-1</v>
      </c>
      <c r="BC87" s="43">
        <v>516802</v>
      </c>
      <c r="BD87" s="43">
        <v>171333</v>
      </c>
      <c r="BE87" t="s">
        <v>1405</v>
      </c>
      <c r="BF87"/>
      <c r="BH87" t="s">
        <v>1404</v>
      </c>
    </row>
    <row r="88" spans="1:66" ht="15" customHeight="1" x14ac:dyDescent="0.25">
      <c r="A88" s="56" t="s">
        <v>21</v>
      </c>
      <c r="B88" s="19" t="s">
        <v>20</v>
      </c>
      <c r="C88" s="56"/>
      <c r="D88" s="34">
        <v>39539</v>
      </c>
      <c r="E88" s="34">
        <v>40634</v>
      </c>
      <c r="F88" s="34">
        <v>41138</v>
      </c>
      <c r="G88" s="19"/>
      <c r="H88" s="59" t="s">
        <v>1101</v>
      </c>
      <c r="I88" s="19" t="s">
        <v>1173</v>
      </c>
      <c r="J88" s="19"/>
      <c r="K88" s="56" t="s">
        <v>22</v>
      </c>
      <c r="L88" s="57" t="s">
        <v>23</v>
      </c>
      <c r="M88" s="56"/>
      <c r="N88" s="56"/>
      <c r="O88" s="56"/>
      <c r="P88" s="56"/>
      <c r="Q88" s="56">
        <v>1</v>
      </c>
      <c r="R88" s="56"/>
      <c r="S88" s="56"/>
      <c r="T88" s="56"/>
      <c r="U88" s="56"/>
      <c r="V88" s="56">
        <f t="shared" si="15"/>
        <v>1</v>
      </c>
      <c r="W88" s="56"/>
      <c r="X88" s="56">
        <v>1</v>
      </c>
      <c r="Y88" s="56"/>
      <c r="Z88" s="56"/>
      <c r="AA88" s="56">
        <v>2</v>
      </c>
      <c r="AB88" s="56"/>
      <c r="AC88" s="56"/>
      <c r="AD88" s="56"/>
      <c r="AE88" s="56"/>
      <c r="AF88" s="56">
        <f t="shared" si="16"/>
        <v>3</v>
      </c>
      <c r="AG88" s="56">
        <f t="shared" si="17"/>
        <v>1</v>
      </c>
      <c r="AH88" s="56">
        <f t="shared" si="18"/>
        <v>0</v>
      </c>
      <c r="AI88" s="56">
        <f t="shared" si="19"/>
        <v>0</v>
      </c>
      <c r="AJ88" s="56">
        <f t="shared" si="20"/>
        <v>1</v>
      </c>
      <c r="AK88" s="56">
        <f t="shared" si="21"/>
        <v>0</v>
      </c>
      <c r="AL88" s="56">
        <f t="shared" si="22"/>
        <v>0</v>
      </c>
      <c r="AM88" s="56">
        <f t="shared" si="23"/>
        <v>0</v>
      </c>
      <c r="AN88" s="56">
        <f t="shared" si="24"/>
        <v>0</v>
      </c>
      <c r="AO88" s="58">
        <f t="shared" si="25"/>
        <v>2</v>
      </c>
      <c r="AP88" s="69"/>
      <c r="AQ88" s="40">
        <v>0</v>
      </c>
      <c r="AR88" s="40">
        <f>AO88</f>
        <v>2</v>
      </c>
      <c r="AS88" s="31">
        <v>0</v>
      </c>
      <c r="AT88" s="31">
        <v>0</v>
      </c>
      <c r="AU88" s="31">
        <v>0</v>
      </c>
      <c r="AV88" s="39">
        <v>0</v>
      </c>
      <c r="AW88" s="31"/>
      <c r="AX88" s="31"/>
      <c r="AY88" s="31"/>
      <c r="AZ88" s="31"/>
      <c r="BA88" s="39"/>
      <c r="BB88" s="152">
        <f t="shared" si="26"/>
        <v>2</v>
      </c>
      <c r="BC88" s="43">
        <v>517856</v>
      </c>
      <c r="BD88" s="43">
        <v>172364</v>
      </c>
      <c r="BE88" t="s">
        <v>1487</v>
      </c>
      <c r="BF88"/>
    </row>
    <row r="89" spans="1:66" ht="15" customHeight="1" x14ac:dyDescent="0.25">
      <c r="A89" s="56" t="s">
        <v>27</v>
      </c>
      <c r="B89" s="19" t="s">
        <v>20</v>
      </c>
      <c r="C89" s="56"/>
      <c r="D89" s="34">
        <v>40998</v>
      </c>
      <c r="E89" s="34">
        <v>42093</v>
      </c>
      <c r="F89" s="34">
        <v>42077</v>
      </c>
      <c r="G89" s="19"/>
      <c r="H89" s="33" t="s">
        <v>1101</v>
      </c>
      <c r="I89" s="19" t="s">
        <v>1173</v>
      </c>
      <c r="J89" s="19"/>
      <c r="K89" s="56" t="s">
        <v>28</v>
      </c>
      <c r="L89" s="57" t="s">
        <v>29</v>
      </c>
      <c r="M89" s="56"/>
      <c r="N89" s="56"/>
      <c r="O89" s="56"/>
      <c r="P89" s="56"/>
      <c r="Q89" s="56"/>
      <c r="R89" s="56"/>
      <c r="S89" s="56"/>
      <c r="T89" s="56"/>
      <c r="U89" s="56"/>
      <c r="V89" s="56">
        <f t="shared" si="15"/>
        <v>0</v>
      </c>
      <c r="W89" s="56"/>
      <c r="X89" s="56">
        <v>24</v>
      </c>
      <c r="Y89" s="56">
        <v>76</v>
      </c>
      <c r="Z89" s="56">
        <v>7</v>
      </c>
      <c r="AA89" s="56"/>
      <c r="AB89" s="56"/>
      <c r="AC89" s="56"/>
      <c r="AD89" s="56"/>
      <c r="AE89" s="56"/>
      <c r="AF89" s="56">
        <f t="shared" si="16"/>
        <v>107</v>
      </c>
      <c r="AG89" s="56">
        <f t="shared" si="17"/>
        <v>24</v>
      </c>
      <c r="AH89" s="56">
        <f t="shared" si="18"/>
        <v>76</v>
      </c>
      <c r="AI89" s="56">
        <f t="shared" si="19"/>
        <v>7</v>
      </c>
      <c r="AJ89" s="56">
        <f t="shared" si="20"/>
        <v>0</v>
      </c>
      <c r="AK89" s="56">
        <f t="shared" si="21"/>
        <v>0</v>
      </c>
      <c r="AL89" s="56">
        <f t="shared" si="22"/>
        <v>0</v>
      </c>
      <c r="AM89" s="56">
        <f t="shared" si="23"/>
        <v>0</v>
      </c>
      <c r="AN89" s="56">
        <f t="shared" si="24"/>
        <v>0</v>
      </c>
      <c r="AO89" s="58">
        <f t="shared" si="25"/>
        <v>107</v>
      </c>
      <c r="AP89" s="69"/>
      <c r="AQ89" s="101">
        <v>0</v>
      </c>
      <c r="AR89" s="31">
        <f>$AO89/3</f>
        <v>35.666666666666664</v>
      </c>
      <c r="AS89" s="31">
        <f>$AO89/3</f>
        <v>35.666666666666664</v>
      </c>
      <c r="AT89" s="31">
        <f>$AO89/3</f>
        <v>35.666666666666664</v>
      </c>
      <c r="AU89" s="31">
        <v>0</v>
      </c>
      <c r="AV89" s="39">
        <v>0</v>
      </c>
      <c r="AW89" s="31"/>
      <c r="AX89" s="31"/>
      <c r="AY89" s="31"/>
      <c r="AZ89" s="31"/>
      <c r="BA89" s="39"/>
      <c r="BB89" s="152">
        <f t="shared" si="26"/>
        <v>107</v>
      </c>
      <c r="BC89" s="43">
        <v>516095</v>
      </c>
      <c r="BD89" s="43">
        <v>173690</v>
      </c>
      <c r="BE89" t="s">
        <v>1488</v>
      </c>
      <c r="BF89"/>
      <c r="BG89" t="s">
        <v>1406</v>
      </c>
    </row>
    <row r="90" spans="1:66" ht="15" customHeight="1" x14ac:dyDescent="0.25">
      <c r="A90" s="56" t="s">
        <v>34</v>
      </c>
      <c r="B90" s="19" t="s">
        <v>31</v>
      </c>
      <c r="C90" s="56"/>
      <c r="D90" s="34">
        <v>41520</v>
      </c>
      <c r="E90" s="34">
        <v>42616</v>
      </c>
      <c r="F90" s="34">
        <v>42601</v>
      </c>
      <c r="G90" s="19"/>
      <c r="H90" s="59" t="s">
        <v>1101</v>
      </c>
      <c r="I90" s="19" t="s">
        <v>1173</v>
      </c>
      <c r="J90" s="19"/>
      <c r="K90" s="56" t="s">
        <v>35</v>
      </c>
      <c r="L90" s="57" t="s">
        <v>36</v>
      </c>
      <c r="M90" s="56"/>
      <c r="N90" s="56"/>
      <c r="O90" s="56"/>
      <c r="P90" s="56"/>
      <c r="Q90" s="56">
        <v>2</v>
      </c>
      <c r="R90" s="56"/>
      <c r="S90" s="56"/>
      <c r="T90" s="56"/>
      <c r="U90" s="56"/>
      <c r="V90" s="56">
        <f t="shared" si="15"/>
        <v>2</v>
      </c>
      <c r="W90" s="56"/>
      <c r="X90" s="56"/>
      <c r="Y90" s="56"/>
      <c r="Z90" s="56"/>
      <c r="AA90" s="56">
        <v>1</v>
      </c>
      <c r="AB90" s="56"/>
      <c r="AC90" s="56"/>
      <c r="AD90" s="56"/>
      <c r="AE90" s="56"/>
      <c r="AF90" s="56">
        <f t="shared" si="16"/>
        <v>1</v>
      </c>
      <c r="AG90" s="56">
        <f t="shared" si="17"/>
        <v>0</v>
      </c>
      <c r="AH90" s="56">
        <f t="shared" si="18"/>
        <v>0</v>
      </c>
      <c r="AI90" s="56">
        <f t="shared" si="19"/>
        <v>0</v>
      </c>
      <c r="AJ90" s="56">
        <f t="shared" si="20"/>
        <v>-1</v>
      </c>
      <c r="AK90" s="56">
        <f t="shared" si="21"/>
        <v>0</v>
      </c>
      <c r="AL90" s="56">
        <f t="shared" si="22"/>
        <v>0</v>
      </c>
      <c r="AM90" s="56">
        <f t="shared" si="23"/>
        <v>0</v>
      </c>
      <c r="AN90" s="56">
        <f t="shared" si="24"/>
        <v>0</v>
      </c>
      <c r="AO90" s="58">
        <f t="shared" si="25"/>
        <v>-1</v>
      </c>
      <c r="AP90" s="69"/>
      <c r="AQ90" s="40">
        <v>0</v>
      </c>
      <c r="AR90" s="40">
        <v>0</v>
      </c>
      <c r="AS90" s="31">
        <f>AO90</f>
        <v>-1</v>
      </c>
      <c r="AT90" s="31">
        <v>0</v>
      </c>
      <c r="AU90" s="31">
        <v>0</v>
      </c>
      <c r="AV90" s="39">
        <v>0</v>
      </c>
      <c r="AW90" s="31"/>
      <c r="AX90" s="31"/>
      <c r="AY90" s="31"/>
      <c r="AZ90" s="31"/>
      <c r="BA90" s="39"/>
      <c r="BB90" s="152">
        <f t="shared" si="26"/>
        <v>-1</v>
      </c>
      <c r="BC90" s="43">
        <v>518397</v>
      </c>
      <c r="BD90" s="43">
        <v>173968</v>
      </c>
      <c r="BE90" t="s">
        <v>1487</v>
      </c>
      <c r="BF90"/>
      <c r="BH90" t="s">
        <v>1404</v>
      </c>
      <c r="BM90" t="s">
        <v>1545</v>
      </c>
      <c r="BN90" t="s">
        <v>1518</v>
      </c>
    </row>
    <row r="91" spans="1:66" ht="15" customHeight="1" x14ac:dyDescent="0.25">
      <c r="A91" s="56" t="s">
        <v>44</v>
      </c>
      <c r="B91" s="19" t="s">
        <v>38</v>
      </c>
      <c r="C91" s="56"/>
      <c r="D91" s="34">
        <v>41838</v>
      </c>
      <c r="E91" s="34">
        <v>43119</v>
      </c>
      <c r="F91" s="34">
        <v>43009</v>
      </c>
      <c r="G91" s="34"/>
      <c r="H91" s="59" t="s">
        <v>1101</v>
      </c>
      <c r="I91" s="19" t="s">
        <v>1173</v>
      </c>
      <c r="J91" s="19"/>
      <c r="K91" s="56" t="s">
        <v>45</v>
      </c>
      <c r="L91" s="57" t="s">
        <v>46</v>
      </c>
      <c r="M91" s="56"/>
      <c r="N91" s="56">
        <v>1</v>
      </c>
      <c r="O91" s="56">
        <v>1</v>
      </c>
      <c r="P91" s="56">
        <v>1</v>
      </c>
      <c r="Q91" s="56"/>
      <c r="R91" s="56"/>
      <c r="S91" s="56"/>
      <c r="T91" s="56"/>
      <c r="U91" s="56"/>
      <c r="V91" s="56">
        <f t="shared" si="15"/>
        <v>3</v>
      </c>
      <c r="W91" s="56"/>
      <c r="X91" s="56"/>
      <c r="Y91" s="56"/>
      <c r="Z91" s="56"/>
      <c r="AA91" s="56">
        <v>1</v>
      </c>
      <c r="AB91" s="56"/>
      <c r="AC91" s="56"/>
      <c r="AD91" s="56"/>
      <c r="AE91" s="56"/>
      <c r="AF91" s="56">
        <f t="shared" si="16"/>
        <v>1</v>
      </c>
      <c r="AG91" s="56">
        <f t="shared" si="17"/>
        <v>-1</v>
      </c>
      <c r="AH91" s="56">
        <f t="shared" si="18"/>
        <v>-1</v>
      </c>
      <c r="AI91" s="56">
        <f t="shared" si="19"/>
        <v>-1</v>
      </c>
      <c r="AJ91" s="56">
        <f t="shared" si="20"/>
        <v>1</v>
      </c>
      <c r="AK91" s="56">
        <f t="shared" si="21"/>
        <v>0</v>
      </c>
      <c r="AL91" s="56">
        <f t="shared" si="22"/>
        <v>0</v>
      </c>
      <c r="AM91" s="56">
        <f t="shared" si="23"/>
        <v>0</v>
      </c>
      <c r="AN91" s="56">
        <f t="shared" si="24"/>
        <v>0</v>
      </c>
      <c r="AO91" s="58">
        <f t="shared" si="25"/>
        <v>-2</v>
      </c>
      <c r="AP91" s="69"/>
      <c r="AQ91" s="40">
        <v>0</v>
      </c>
      <c r="AR91" s="40">
        <f t="shared" ref="AR91:AR109" si="27">AO91</f>
        <v>-2</v>
      </c>
      <c r="AS91" s="31">
        <v>0</v>
      </c>
      <c r="AT91" s="31">
        <v>0</v>
      </c>
      <c r="AU91" s="31">
        <v>0</v>
      </c>
      <c r="AV91" s="39">
        <v>0</v>
      </c>
      <c r="AW91" s="31"/>
      <c r="AX91" s="31"/>
      <c r="AY91" s="31"/>
      <c r="AZ91" s="31"/>
      <c r="BA91" s="39"/>
      <c r="BB91" s="152">
        <f t="shared" si="26"/>
        <v>-2</v>
      </c>
      <c r="BC91" s="43">
        <v>520243</v>
      </c>
      <c r="BD91" s="43">
        <v>175216</v>
      </c>
      <c r="BE91" t="s">
        <v>1402</v>
      </c>
      <c r="BF91"/>
      <c r="BM91" t="s">
        <v>1545</v>
      </c>
      <c r="BN91" t="s">
        <v>1519</v>
      </c>
    </row>
    <row r="92" spans="1:66" ht="15" customHeight="1" x14ac:dyDescent="0.25">
      <c r="A92" s="56" t="s">
        <v>47</v>
      </c>
      <c r="B92" s="19" t="s">
        <v>48</v>
      </c>
      <c r="C92" s="56"/>
      <c r="D92" s="34">
        <v>42089</v>
      </c>
      <c r="E92" s="34">
        <v>43186</v>
      </c>
      <c r="F92" s="34">
        <v>42522</v>
      </c>
      <c r="G92" s="19"/>
      <c r="H92" s="59" t="s">
        <v>1101</v>
      </c>
      <c r="I92" s="19" t="s">
        <v>1173</v>
      </c>
      <c r="J92" s="19"/>
      <c r="K92" s="56" t="s">
        <v>49</v>
      </c>
      <c r="L92" s="57" t="s">
        <v>50</v>
      </c>
      <c r="M92" s="56"/>
      <c r="N92" s="56"/>
      <c r="O92" s="56">
        <v>1</v>
      </c>
      <c r="P92" s="56"/>
      <c r="Q92" s="56"/>
      <c r="R92" s="56"/>
      <c r="S92" s="56"/>
      <c r="T92" s="56"/>
      <c r="U92" s="56"/>
      <c r="V92" s="56">
        <f t="shared" si="15"/>
        <v>1</v>
      </c>
      <c r="W92" s="56"/>
      <c r="X92" s="56">
        <v>4</v>
      </c>
      <c r="Y92" s="56"/>
      <c r="Z92" s="56"/>
      <c r="AA92" s="56"/>
      <c r="AB92" s="56"/>
      <c r="AC92" s="56"/>
      <c r="AD92" s="56"/>
      <c r="AE92" s="56"/>
      <c r="AF92" s="56">
        <f t="shared" si="16"/>
        <v>4</v>
      </c>
      <c r="AG92" s="56">
        <f t="shared" si="17"/>
        <v>4</v>
      </c>
      <c r="AH92" s="56">
        <f t="shared" si="18"/>
        <v>-1</v>
      </c>
      <c r="AI92" s="56">
        <f t="shared" si="19"/>
        <v>0</v>
      </c>
      <c r="AJ92" s="56">
        <f t="shared" si="20"/>
        <v>0</v>
      </c>
      <c r="AK92" s="56">
        <f t="shared" si="21"/>
        <v>0</v>
      </c>
      <c r="AL92" s="56">
        <f t="shared" si="22"/>
        <v>0</v>
      </c>
      <c r="AM92" s="56">
        <f t="shared" si="23"/>
        <v>0</v>
      </c>
      <c r="AN92" s="56">
        <f t="shared" si="24"/>
        <v>0</v>
      </c>
      <c r="AO92" s="58">
        <f t="shared" si="25"/>
        <v>3</v>
      </c>
      <c r="AP92" s="69"/>
      <c r="AQ92" s="40">
        <v>0</v>
      </c>
      <c r="AR92" s="40">
        <f t="shared" si="27"/>
        <v>3</v>
      </c>
      <c r="AS92" s="31">
        <v>0</v>
      </c>
      <c r="AT92" s="31">
        <v>0</v>
      </c>
      <c r="AU92" s="31">
        <v>0</v>
      </c>
      <c r="AV92" s="39">
        <v>0</v>
      </c>
      <c r="AW92" s="31"/>
      <c r="AX92" s="31"/>
      <c r="AY92" s="31"/>
      <c r="AZ92" s="31"/>
      <c r="BA92" s="39"/>
      <c r="BB92" s="152">
        <f t="shared" si="26"/>
        <v>3</v>
      </c>
      <c r="BC92" s="43">
        <v>513482</v>
      </c>
      <c r="BD92" s="43">
        <v>173963</v>
      </c>
      <c r="BE92" t="s">
        <v>1419</v>
      </c>
      <c r="BF92"/>
    </row>
    <row r="93" spans="1:66" ht="15" customHeight="1" x14ac:dyDescent="0.25">
      <c r="A93" s="56" t="s">
        <v>51</v>
      </c>
      <c r="B93" s="19" t="s">
        <v>31</v>
      </c>
      <c r="C93" s="56" t="s">
        <v>1203</v>
      </c>
      <c r="D93" s="34">
        <v>42236</v>
      </c>
      <c r="E93" s="34">
        <v>43066</v>
      </c>
      <c r="F93" s="34">
        <v>42916</v>
      </c>
      <c r="G93" s="19"/>
      <c r="H93" s="59" t="s">
        <v>1101</v>
      </c>
      <c r="I93" s="19" t="s">
        <v>1173</v>
      </c>
      <c r="J93" s="19"/>
      <c r="K93" s="56" t="s">
        <v>52</v>
      </c>
      <c r="L93" s="57" t="s">
        <v>53</v>
      </c>
      <c r="M93" s="56" t="s">
        <v>54</v>
      </c>
      <c r="N93" s="56"/>
      <c r="O93" s="56"/>
      <c r="P93" s="56"/>
      <c r="Q93" s="56"/>
      <c r="R93" s="56"/>
      <c r="S93" s="56"/>
      <c r="T93" s="56"/>
      <c r="U93" s="56"/>
      <c r="V93" s="56">
        <f t="shared" si="15"/>
        <v>0</v>
      </c>
      <c r="W93" s="56"/>
      <c r="X93" s="56">
        <v>1</v>
      </c>
      <c r="Y93" s="56">
        <v>5</v>
      </c>
      <c r="Z93" s="56"/>
      <c r="AA93" s="56"/>
      <c r="AB93" s="56"/>
      <c r="AC93" s="56"/>
      <c r="AD93" s="56"/>
      <c r="AE93" s="56"/>
      <c r="AF93" s="56">
        <f t="shared" si="16"/>
        <v>6</v>
      </c>
      <c r="AG93" s="56">
        <f t="shared" si="17"/>
        <v>1</v>
      </c>
      <c r="AH93" s="56">
        <f t="shared" si="18"/>
        <v>5</v>
      </c>
      <c r="AI93" s="56">
        <f t="shared" si="19"/>
        <v>0</v>
      </c>
      <c r="AJ93" s="56">
        <f t="shared" si="20"/>
        <v>0</v>
      </c>
      <c r="AK93" s="56">
        <f t="shared" si="21"/>
        <v>0</v>
      </c>
      <c r="AL93" s="56">
        <f t="shared" si="22"/>
        <v>0</v>
      </c>
      <c r="AM93" s="56">
        <f t="shared" si="23"/>
        <v>0</v>
      </c>
      <c r="AN93" s="56">
        <f t="shared" si="24"/>
        <v>0</v>
      </c>
      <c r="AO93" s="58">
        <f t="shared" si="25"/>
        <v>6</v>
      </c>
      <c r="AP93" s="69"/>
      <c r="AQ93" s="40">
        <v>0</v>
      </c>
      <c r="AR93" s="40">
        <f t="shared" si="27"/>
        <v>6</v>
      </c>
      <c r="AS93" s="31">
        <v>0</v>
      </c>
      <c r="AT93" s="31">
        <v>0</v>
      </c>
      <c r="AU93" s="31">
        <v>0</v>
      </c>
      <c r="AV93" s="39">
        <v>0</v>
      </c>
      <c r="AW93" s="31"/>
      <c r="AX93" s="31"/>
      <c r="AY93" s="31"/>
      <c r="AZ93" s="31"/>
      <c r="BA93" s="39"/>
      <c r="BB93" s="152">
        <f t="shared" si="26"/>
        <v>6</v>
      </c>
      <c r="BC93" s="43">
        <v>515206</v>
      </c>
      <c r="BD93" s="43">
        <v>173341</v>
      </c>
      <c r="BE93" t="s">
        <v>1424</v>
      </c>
      <c r="BF93"/>
    </row>
    <row r="94" spans="1:66" ht="15" customHeight="1" x14ac:dyDescent="0.25">
      <c r="A94" s="56" t="s">
        <v>55</v>
      </c>
      <c r="B94" s="19" t="s">
        <v>31</v>
      </c>
      <c r="C94" s="56"/>
      <c r="D94" s="34">
        <v>42111</v>
      </c>
      <c r="E94" s="34">
        <v>43210</v>
      </c>
      <c r="F94" s="34">
        <v>43194</v>
      </c>
      <c r="G94" s="19"/>
      <c r="H94" s="59" t="s">
        <v>1101</v>
      </c>
      <c r="I94" s="19" t="s">
        <v>1173</v>
      </c>
      <c r="J94" s="19"/>
      <c r="K94" s="56" t="s">
        <v>56</v>
      </c>
      <c r="L94" s="57" t="s">
        <v>57</v>
      </c>
      <c r="M94" s="56"/>
      <c r="N94" s="56">
        <v>1</v>
      </c>
      <c r="O94" s="56"/>
      <c r="P94" s="56"/>
      <c r="Q94" s="56"/>
      <c r="R94" s="56"/>
      <c r="S94" s="56"/>
      <c r="T94" s="56"/>
      <c r="U94" s="56"/>
      <c r="V94" s="56">
        <f t="shared" si="15"/>
        <v>1</v>
      </c>
      <c r="W94" s="56"/>
      <c r="X94" s="56">
        <v>2</v>
      </c>
      <c r="Y94" s="56">
        <v>4</v>
      </c>
      <c r="Z94" s="56"/>
      <c r="AA94" s="56"/>
      <c r="AB94" s="56"/>
      <c r="AC94" s="56"/>
      <c r="AD94" s="56"/>
      <c r="AE94" s="56"/>
      <c r="AF94" s="56">
        <f t="shared" si="16"/>
        <v>6</v>
      </c>
      <c r="AG94" s="56">
        <f t="shared" si="17"/>
        <v>1</v>
      </c>
      <c r="AH94" s="56">
        <f t="shared" si="18"/>
        <v>4</v>
      </c>
      <c r="AI94" s="56">
        <f t="shared" si="19"/>
        <v>0</v>
      </c>
      <c r="AJ94" s="56">
        <f t="shared" si="20"/>
        <v>0</v>
      </c>
      <c r="AK94" s="56">
        <f t="shared" si="21"/>
        <v>0</v>
      </c>
      <c r="AL94" s="56">
        <f t="shared" si="22"/>
        <v>0</v>
      </c>
      <c r="AM94" s="56">
        <f t="shared" si="23"/>
        <v>0</v>
      </c>
      <c r="AN94" s="56">
        <f t="shared" si="24"/>
        <v>0</v>
      </c>
      <c r="AO94" s="58">
        <f t="shared" si="25"/>
        <v>5</v>
      </c>
      <c r="AP94" s="69"/>
      <c r="AQ94" s="40">
        <v>0</v>
      </c>
      <c r="AR94" s="40">
        <f t="shared" si="27"/>
        <v>5</v>
      </c>
      <c r="AS94" s="31">
        <v>0</v>
      </c>
      <c r="AT94" s="31">
        <v>0</v>
      </c>
      <c r="AU94" s="31">
        <v>0</v>
      </c>
      <c r="AV94" s="39">
        <v>0</v>
      </c>
      <c r="AW94" s="31"/>
      <c r="AX94" s="31"/>
      <c r="AY94" s="31"/>
      <c r="AZ94" s="31"/>
      <c r="BA94" s="39"/>
      <c r="BB94" s="152">
        <f t="shared" si="26"/>
        <v>5</v>
      </c>
      <c r="BC94" s="43">
        <v>515537</v>
      </c>
      <c r="BD94" s="43">
        <v>170973</v>
      </c>
      <c r="BE94" t="s">
        <v>1405</v>
      </c>
      <c r="BF94"/>
      <c r="BG94" t="s">
        <v>1405</v>
      </c>
    </row>
    <row r="95" spans="1:66" ht="15" customHeight="1" x14ac:dyDescent="0.25">
      <c r="A95" s="56" t="s">
        <v>58</v>
      </c>
      <c r="B95" s="19" t="s">
        <v>48</v>
      </c>
      <c r="C95" s="56"/>
      <c r="D95" s="34">
        <v>42124</v>
      </c>
      <c r="E95" s="34">
        <v>43220</v>
      </c>
      <c r="F95" s="34">
        <v>42552</v>
      </c>
      <c r="G95" s="19"/>
      <c r="H95" s="59" t="s">
        <v>1101</v>
      </c>
      <c r="I95" s="19" t="s">
        <v>1173</v>
      </c>
      <c r="J95" s="19"/>
      <c r="K95" s="56" t="s">
        <v>59</v>
      </c>
      <c r="L95" s="57" t="s">
        <v>60</v>
      </c>
      <c r="M95" s="56"/>
      <c r="N95" s="56"/>
      <c r="O95" s="56"/>
      <c r="P95" s="56"/>
      <c r="Q95" s="56"/>
      <c r="R95" s="56"/>
      <c r="S95" s="56"/>
      <c r="T95" s="56"/>
      <c r="U95" s="56"/>
      <c r="V95" s="56">
        <f t="shared" si="15"/>
        <v>0</v>
      </c>
      <c r="W95" s="56"/>
      <c r="X95" s="56"/>
      <c r="Y95" s="56">
        <v>5</v>
      </c>
      <c r="Z95" s="56">
        <v>3</v>
      </c>
      <c r="AA95" s="56"/>
      <c r="AB95" s="56"/>
      <c r="AC95" s="56"/>
      <c r="AD95" s="56"/>
      <c r="AE95" s="56"/>
      <c r="AF95" s="56">
        <f t="shared" si="16"/>
        <v>8</v>
      </c>
      <c r="AG95" s="56">
        <f t="shared" si="17"/>
        <v>0</v>
      </c>
      <c r="AH95" s="56">
        <f t="shared" si="18"/>
        <v>5</v>
      </c>
      <c r="AI95" s="56">
        <f t="shared" si="19"/>
        <v>3</v>
      </c>
      <c r="AJ95" s="56">
        <f t="shared" si="20"/>
        <v>0</v>
      </c>
      <c r="AK95" s="56">
        <f t="shared" si="21"/>
        <v>0</v>
      </c>
      <c r="AL95" s="56">
        <f t="shared" si="22"/>
        <v>0</v>
      </c>
      <c r="AM95" s="56">
        <f t="shared" si="23"/>
        <v>0</v>
      </c>
      <c r="AN95" s="56">
        <f t="shared" si="24"/>
        <v>0</v>
      </c>
      <c r="AO95" s="58">
        <f t="shared" si="25"/>
        <v>8</v>
      </c>
      <c r="AP95" s="69"/>
      <c r="AQ95" s="40">
        <f>AO95</f>
        <v>8</v>
      </c>
      <c r="AR95" s="40">
        <f t="shared" si="27"/>
        <v>8</v>
      </c>
      <c r="AS95" s="31">
        <v>0</v>
      </c>
      <c r="AT95" s="31">
        <v>0</v>
      </c>
      <c r="AU95" s="31">
        <v>0</v>
      </c>
      <c r="AV95" s="39">
        <v>0</v>
      </c>
      <c r="AW95" s="31"/>
      <c r="AX95" s="31"/>
      <c r="AY95" s="31"/>
      <c r="AZ95" s="31"/>
      <c r="BA95" s="39"/>
      <c r="BB95" s="152">
        <f t="shared" si="26"/>
        <v>8</v>
      </c>
      <c r="BC95" s="43">
        <v>517917</v>
      </c>
      <c r="BD95" s="43">
        <v>175196</v>
      </c>
      <c r="BE95" t="s">
        <v>1423</v>
      </c>
      <c r="BF95"/>
      <c r="BG95" t="s">
        <v>1403</v>
      </c>
      <c r="BM95" t="s">
        <v>1545</v>
      </c>
      <c r="BN95" t="s">
        <v>1511</v>
      </c>
    </row>
    <row r="96" spans="1:66" ht="15" customHeight="1" x14ac:dyDescent="0.25">
      <c r="A96" s="56" t="s">
        <v>76</v>
      </c>
      <c r="B96" s="19" t="s">
        <v>20</v>
      </c>
      <c r="C96" s="56"/>
      <c r="D96" s="34">
        <v>42565</v>
      </c>
      <c r="E96" s="34">
        <v>43660</v>
      </c>
      <c r="F96" s="37">
        <v>43617</v>
      </c>
      <c r="G96" s="19"/>
      <c r="H96" s="59" t="s">
        <v>1101</v>
      </c>
      <c r="I96" s="19" t="s">
        <v>1173</v>
      </c>
      <c r="J96" s="19"/>
      <c r="K96" s="56" t="s">
        <v>77</v>
      </c>
      <c r="L96" s="57" t="s">
        <v>78</v>
      </c>
      <c r="M96" s="56"/>
      <c r="N96" s="56"/>
      <c r="O96" s="56">
        <v>1</v>
      </c>
      <c r="P96" s="56"/>
      <c r="Q96" s="56"/>
      <c r="R96" s="56"/>
      <c r="S96" s="56"/>
      <c r="T96" s="56"/>
      <c r="U96" s="56"/>
      <c r="V96" s="56">
        <f t="shared" si="15"/>
        <v>1</v>
      </c>
      <c r="W96" s="56"/>
      <c r="X96" s="56"/>
      <c r="Y96" s="56"/>
      <c r="Z96" s="56">
        <v>1</v>
      </c>
      <c r="AA96" s="56"/>
      <c r="AB96" s="56"/>
      <c r="AC96" s="56"/>
      <c r="AD96" s="56"/>
      <c r="AE96" s="56"/>
      <c r="AF96" s="56">
        <f t="shared" si="16"/>
        <v>1</v>
      </c>
      <c r="AG96" s="56">
        <f t="shared" si="17"/>
        <v>0</v>
      </c>
      <c r="AH96" s="56">
        <f t="shared" si="18"/>
        <v>-1</v>
      </c>
      <c r="AI96" s="56">
        <f t="shared" si="19"/>
        <v>1</v>
      </c>
      <c r="AJ96" s="56">
        <f t="shared" si="20"/>
        <v>0</v>
      </c>
      <c r="AK96" s="56">
        <f t="shared" si="21"/>
        <v>0</v>
      </c>
      <c r="AL96" s="56">
        <f t="shared" si="22"/>
        <v>0</v>
      </c>
      <c r="AM96" s="56">
        <f t="shared" si="23"/>
        <v>0</v>
      </c>
      <c r="AN96" s="56">
        <f t="shared" si="24"/>
        <v>0</v>
      </c>
      <c r="AO96" s="58">
        <f t="shared" si="25"/>
        <v>0</v>
      </c>
      <c r="AP96" s="69"/>
      <c r="AQ96" s="40">
        <v>0</v>
      </c>
      <c r="AR96" s="40">
        <f t="shared" si="27"/>
        <v>0</v>
      </c>
      <c r="AS96" s="31">
        <v>0</v>
      </c>
      <c r="AT96" s="31">
        <v>0</v>
      </c>
      <c r="AU96" s="31">
        <v>0</v>
      </c>
      <c r="AV96" s="39">
        <v>0</v>
      </c>
      <c r="AW96" s="31"/>
      <c r="AX96" s="31"/>
      <c r="AY96" s="31"/>
      <c r="AZ96" s="31"/>
      <c r="BA96" s="39"/>
      <c r="BB96" s="152">
        <f t="shared" si="26"/>
        <v>0</v>
      </c>
      <c r="BC96" s="43">
        <v>516355</v>
      </c>
      <c r="BD96" s="43">
        <v>173076</v>
      </c>
      <c r="BE96" t="s">
        <v>1426</v>
      </c>
      <c r="BF96"/>
      <c r="BH96" t="s">
        <v>1404</v>
      </c>
      <c r="BM96" t="s">
        <v>1545</v>
      </c>
      <c r="BN96" t="s">
        <v>1516</v>
      </c>
    </row>
    <row r="97" spans="1:66" ht="15" customHeight="1" x14ac:dyDescent="0.25">
      <c r="A97" s="56" t="s">
        <v>79</v>
      </c>
      <c r="B97" s="19" t="s">
        <v>38</v>
      </c>
      <c r="C97" s="56"/>
      <c r="D97" s="34">
        <v>42051</v>
      </c>
      <c r="E97" s="34">
        <v>43147</v>
      </c>
      <c r="F97" s="34">
        <v>43182</v>
      </c>
      <c r="G97" s="19"/>
      <c r="H97" s="59" t="s">
        <v>1101</v>
      </c>
      <c r="I97" s="19" t="s">
        <v>1173</v>
      </c>
      <c r="J97" s="19"/>
      <c r="K97" s="56" t="s">
        <v>80</v>
      </c>
      <c r="L97" s="57" t="s">
        <v>81</v>
      </c>
      <c r="M97" s="56" t="s">
        <v>82</v>
      </c>
      <c r="N97" s="56">
        <v>1</v>
      </c>
      <c r="O97" s="56"/>
      <c r="P97" s="56">
        <v>1</v>
      </c>
      <c r="Q97" s="56"/>
      <c r="R97" s="56"/>
      <c r="S97" s="56"/>
      <c r="T97" s="56"/>
      <c r="U97" s="56"/>
      <c r="V97" s="56">
        <f t="shared" si="15"/>
        <v>2</v>
      </c>
      <c r="W97" s="56"/>
      <c r="X97" s="56"/>
      <c r="Y97" s="56"/>
      <c r="Z97" s="56"/>
      <c r="AA97" s="56">
        <v>1</v>
      </c>
      <c r="AB97" s="56"/>
      <c r="AC97" s="56"/>
      <c r="AD97" s="56"/>
      <c r="AE97" s="56"/>
      <c r="AF97" s="56">
        <f t="shared" si="16"/>
        <v>1</v>
      </c>
      <c r="AG97" s="56">
        <f t="shared" si="17"/>
        <v>-1</v>
      </c>
      <c r="AH97" s="56">
        <f t="shared" si="18"/>
        <v>0</v>
      </c>
      <c r="AI97" s="56">
        <f t="shared" si="19"/>
        <v>-1</v>
      </c>
      <c r="AJ97" s="56">
        <f t="shared" si="20"/>
        <v>1</v>
      </c>
      <c r="AK97" s="56">
        <f t="shared" si="21"/>
        <v>0</v>
      </c>
      <c r="AL97" s="56">
        <f t="shared" si="22"/>
        <v>0</v>
      </c>
      <c r="AM97" s="56">
        <f t="shared" si="23"/>
        <v>0</v>
      </c>
      <c r="AN97" s="56">
        <f t="shared" si="24"/>
        <v>0</v>
      </c>
      <c r="AO97" s="58">
        <f t="shared" si="25"/>
        <v>-1</v>
      </c>
      <c r="AP97" s="69"/>
      <c r="AQ97" s="40">
        <v>0</v>
      </c>
      <c r="AR97" s="40">
        <f t="shared" si="27"/>
        <v>-1</v>
      </c>
      <c r="AS97" s="31">
        <v>0</v>
      </c>
      <c r="AT97" s="31">
        <v>0</v>
      </c>
      <c r="AU97" s="31">
        <v>0</v>
      </c>
      <c r="AV97" s="39">
        <v>0</v>
      </c>
      <c r="AW97" s="31"/>
      <c r="AX97" s="31"/>
      <c r="AY97" s="31"/>
      <c r="AZ97" s="31"/>
      <c r="BA97" s="39"/>
      <c r="BB97" s="152">
        <f t="shared" si="26"/>
        <v>-1</v>
      </c>
      <c r="BC97" s="43">
        <v>518090</v>
      </c>
      <c r="BD97" s="43">
        <v>174701</v>
      </c>
      <c r="BE97" t="s">
        <v>1423</v>
      </c>
      <c r="BF97"/>
      <c r="BM97" t="s">
        <v>1545</v>
      </c>
      <c r="BN97" t="s">
        <v>1518</v>
      </c>
    </row>
    <row r="98" spans="1:66" ht="15" customHeight="1" x14ac:dyDescent="0.25">
      <c r="A98" s="56" t="s">
        <v>83</v>
      </c>
      <c r="B98" s="19" t="s">
        <v>31</v>
      </c>
      <c r="C98" s="56"/>
      <c r="D98" s="34">
        <v>42177</v>
      </c>
      <c r="E98" s="34">
        <v>43273</v>
      </c>
      <c r="F98" s="34">
        <v>42856</v>
      </c>
      <c r="G98" s="19"/>
      <c r="H98" s="59" t="s">
        <v>1101</v>
      </c>
      <c r="I98" s="19" t="s">
        <v>1173</v>
      </c>
      <c r="J98" s="19"/>
      <c r="K98" s="56" t="s">
        <v>84</v>
      </c>
      <c r="L98" s="57" t="s">
        <v>85</v>
      </c>
      <c r="M98" s="56"/>
      <c r="N98" s="56"/>
      <c r="O98" s="56">
        <v>1</v>
      </c>
      <c r="P98" s="56"/>
      <c r="Q98" s="56"/>
      <c r="R98" s="56"/>
      <c r="S98" s="56"/>
      <c r="T98" s="56"/>
      <c r="U98" s="56"/>
      <c r="V98" s="56">
        <f t="shared" ref="V98:V129" si="28">SUM(N98:U98)</f>
        <v>1</v>
      </c>
      <c r="W98" s="56"/>
      <c r="X98" s="56"/>
      <c r="Y98" s="56"/>
      <c r="Z98" s="56"/>
      <c r="AA98" s="56">
        <v>1</v>
      </c>
      <c r="AB98" s="56"/>
      <c r="AC98" s="56"/>
      <c r="AD98" s="56"/>
      <c r="AE98" s="56"/>
      <c r="AF98" s="56">
        <f t="shared" si="16"/>
        <v>1</v>
      </c>
      <c r="AG98" s="56">
        <f t="shared" si="17"/>
        <v>0</v>
      </c>
      <c r="AH98" s="56">
        <f t="shared" si="18"/>
        <v>-1</v>
      </c>
      <c r="AI98" s="56">
        <f t="shared" si="19"/>
        <v>0</v>
      </c>
      <c r="AJ98" s="56">
        <f t="shared" si="20"/>
        <v>1</v>
      </c>
      <c r="AK98" s="56">
        <f t="shared" si="21"/>
        <v>0</v>
      </c>
      <c r="AL98" s="56">
        <f t="shared" si="22"/>
        <v>0</v>
      </c>
      <c r="AM98" s="56">
        <f t="shared" si="23"/>
        <v>0</v>
      </c>
      <c r="AN98" s="56">
        <f t="shared" si="24"/>
        <v>0</v>
      </c>
      <c r="AO98" s="58">
        <f t="shared" si="25"/>
        <v>0</v>
      </c>
      <c r="AP98" s="69"/>
      <c r="AQ98" s="40">
        <v>0</v>
      </c>
      <c r="AR98" s="40">
        <f t="shared" si="27"/>
        <v>0</v>
      </c>
      <c r="AS98" s="31">
        <v>0</v>
      </c>
      <c r="AT98" s="31">
        <v>0</v>
      </c>
      <c r="AU98" s="31">
        <v>0</v>
      </c>
      <c r="AV98" s="39">
        <v>0</v>
      </c>
      <c r="AW98" s="31"/>
      <c r="AX98" s="31"/>
      <c r="AY98" s="31"/>
      <c r="AZ98" s="31"/>
      <c r="BA98" s="39"/>
      <c r="BB98" s="152">
        <f t="shared" si="26"/>
        <v>0</v>
      </c>
      <c r="BC98" s="43">
        <v>518248</v>
      </c>
      <c r="BD98" s="43">
        <v>175334</v>
      </c>
      <c r="BE98" t="s">
        <v>1422</v>
      </c>
      <c r="BF98"/>
      <c r="BG98" t="s">
        <v>1403</v>
      </c>
      <c r="BM98" t="s">
        <v>1545</v>
      </c>
      <c r="BN98" t="s">
        <v>1511</v>
      </c>
    </row>
    <row r="99" spans="1:66" ht="15" customHeight="1" x14ac:dyDescent="0.25">
      <c r="A99" s="56" t="s">
        <v>99</v>
      </c>
      <c r="B99" s="19" t="s">
        <v>20</v>
      </c>
      <c r="C99" s="56"/>
      <c r="D99" s="34">
        <v>42201</v>
      </c>
      <c r="E99" s="34">
        <v>43297</v>
      </c>
      <c r="F99" s="34">
        <v>43255</v>
      </c>
      <c r="G99" s="19"/>
      <c r="H99" s="33" t="s">
        <v>1101</v>
      </c>
      <c r="I99" s="19" t="s">
        <v>1173</v>
      </c>
      <c r="J99" s="19"/>
      <c r="K99" s="56" t="s">
        <v>100</v>
      </c>
      <c r="L99" s="57" t="s">
        <v>101</v>
      </c>
      <c r="M99" s="56"/>
      <c r="N99" s="56"/>
      <c r="O99" s="56">
        <v>1</v>
      </c>
      <c r="P99" s="56"/>
      <c r="Q99" s="56"/>
      <c r="R99" s="56"/>
      <c r="S99" s="56"/>
      <c r="T99" s="56"/>
      <c r="U99" s="56"/>
      <c r="V99" s="56">
        <f t="shared" si="28"/>
        <v>1</v>
      </c>
      <c r="W99" s="56"/>
      <c r="X99" s="56"/>
      <c r="Y99" s="56"/>
      <c r="Z99" s="56"/>
      <c r="AA99" s="56">
        <v>2</v>
      </c>
      <c r="AB99" s="56"/>
      <c r="AC99" s="56"/>
      <c r="AD99" s="56"/>
      <c r="AE99" s="56"/>
      <c r="AF99" s="56">
        <f t="shared" si="16"/>
        <v>2</v>
      </c>
      <c r="AG99" s="56">
        <f t="shared" si="17"/>
        <v>0</v>
      </c>
      <c r="AH99" s="56">
        <f t="shared" si="18"/>
        <v>-1</v>
      </c>
      <c r="AI99" s="56">
        <f t="shared" si="19"/>
        <v>0</v>
      </c>
      <c r="AJ99" s="56">
        <f t="shared" si="20"/>
        <v>2</v>
      </c>
      <c r="AK99" s="56">
        <f t="shared" si="21"/>
        <v>0</v>
      </c>
      <c r="AL99" s="56">
        <f t="shared" si="22"/>
        <v>0</v>
      </c>
      <c r="AM99" s="56">
        <f t="shared" si="23"/>
        <v>0</v>
      </c>
      <c r="AN99" s="56">
        <f t="shared" si="24"/>
        <v>0</v>
      </c>
      <c r="AO99" s="58">
        <f t="shared" si="25"/>
        <v>1</v>
      </c>
      <c r="AP99" s="69"/>
      <c r="AQ99" s="40">
        <v>0</v>
      </c>
      <c r="AR99" s="40">
        <f t="shared" si="27"/>
        <v>1</v>
      </c>
      <c r="AS99" s="31">
        <v>0</v>
      </c>
      <c r="AT99" s="31">
        <v>0</v>
      </c>
      <c r="AU99" s="31">
        <v>0</v>
      </c>
      <c r="AV99" s="39">
        <v>0</v>
      </c>
      <c r="AW99" s="31"/>
      <c r="AX99" s="31"/>
      <c r="AY99" s="31"/>
      <c r="AZ99" s="31"/>
      <c r="BA99" s="39"/>
      <c r="BB99" s="152">
        <f t="shared" si="26"/>
        <v>1</v>
      </c>
      <c r="BC99" s="43">
        <v>512819</v>
      </c>
      <c r="BD99" s="43">
        <v>173657</v>
      </c>
      <c r="BE99" t="s">
        <v>1419</v>
      </c>
      <c r="BF99"/>
    </row>
    <row r="100" spans="1:66" ht="15" customHeight="1" x14ac:dyDescent="0.25">
      <c r="A100" s="56" t="s">
        <v>115</v>
      </c>
      <c r="B100" s="19" t="s">
        <v>20</v>
      </c>
      <c r="C100" s="56"/>
      <c r="D100" s="34">
        <v>42523</v>
      </c>
      <c r="E100" s="34">
        <v>43618</v>
      </c>
      <c r="F100" s="34">
        <v>43586</v>
      </c>
      <c r="G100" s="19"/>
      <c r="H100" s="36" t="s">
        <v>1101</v>
      </c>
      <c r="I100" s="56" t="s">
        <v>1215</v>
      </c>
      <c r="J100" s="56"/>
      <c r="K100" s="56" t="s">
        <v>116</v>
      </c>
      <c r="L100" s="57" t="s">
        <v>117</v>
      </c>
      <c r="M100" s="56"/>
      <c r="N100" s="56"/>
      <c r="O100" s="56"/>
      <c r="P100" s="56"/>
      <c r="Q100" s="56"/>
      <c r="R100" s="56"/>
      <c r="S100" s="56"/>
      <c r="T100" s="56"/>
      <c r="U100" s="56"/>
      <c r="V100" s="56">
        <f t="shared" si="28"/>
        <v>0</v>
      </c>
      <c r="W100" s="56" t="s">
        <v>121</v>
      </c>
      <c r="X100" s="56"/>
      <c r="Y100" s="56">
        <v>2</v>
      </c>
      <c r="Z100" s="56"/>
      <c r="AA100" s="56"/>
      <c r="AB100" s="56"/>
      <c r="AC100" s="56"/>
      <c r="AD100" s="56"/>
      <c r="AE100" s="56">
        <v>2</v>
      </c>
      <c r="AF100" s="56">
        <f t="shared" si="16"/>
        <v>2</v>
      </c>
      <c r="AG100" s="56">
        <f t="shared" si="17"/>
        <v>0</v>
      </c>
      <c r="AH100" s="56">
        <f t="shared" si="18"/>
        <v>2</v>
      </c>
      <c r="AI100" s="56">
        <f t="shared" si="19"/>
        <v>0</v>
      </c>
      <c r="AJ100" s="56">
        <f t="shared" si="20"/>
        <v>0</v>
      </c>
      <c r="AK100" s="56">
        <f t="shared" si="21"/>
        <v>0</v>
      </c>
      <c r="AL100" s="56">
        <f t="shared" si="22"/>
        <v>0</v>
      </c>
      <c r="AM100" s="56">
        <f t="shared" si="23"/>
        <v>0</v>
      </c>
      <c r="AN100" s="56">
        <f t="shared" si="24"/>
        <v>0</v>
      </c>
      <c r="AO100" s="58">
        <f t="shared" si="25"/>
        <v>2</v>
      </c>
      <c r="AP100" s="69"/>
      <c r="AQ100" s="40">
        <v>0</v>
      </c>
      <c r="AR100" s="40">
        <f t="shared" si="27"/>
        <v>2</v>
      </c>
      <c r="AS100" s="31">
        <v>0</v>
      </c>
      <c r="AT100" s="31">
        <v>0</v>
      </c>
      <c r="AU100" s="31">
        <v>0</v>
      </c>
      <c r="AV100" s="39">
        <v>0</v>
      </c>
      <c r="AW100" s="31"/>
      <c r="AX100" s="31"/>
      <c r="AY100" s="31"/>
      <c r="AZ100" s="31"/>
      <c r="BA100" s="39"/>
      <c r="BB100" s="152">
        <f t="shared" si="26"/>
        <v>2</v>
      </c>
      <c r="BC100" s="43">
        <v>517050</v>
      </c>
      <c r="BD100" s="43">
        <v>172680</v>
      </c>
      <c r="BE100" t="s">
        <v>1487</v>
      </c>
      <c r="BF100"/>
    </row>
    <row r="101" spans="1:66" ht="15" customHeight="1" x14ac:dyDescent="0.25">
      <c r="A101" s="56" t="s">
        <v>118</v>
      </c>
      <c r="B101" s="19" t="s">
        <v>20</v>
      </c>
      <c r="C101" s="56"/>
      <c r="D101" s="34">
        <v>42523</v>
      </c>
      <c r="E101" s="34">
        <v>43618</v>
      </c>
      <c r="F101" s="37">
        <v>43613</v>
      </c>
      <c r="G101" s="37"/>
      <c r="H101" s="59" t="s">
        <v>1101</v>
      </c>
      <c r="I101" s="56" t="s">
        <v>1215</v>
      </c>
      <c r="J101" s="56"/>
      <c r="K101" s="56" t="s">
        <v>119</v>
      </c>
      <c r="L101" s="57" t="s">
        <v>120</v>
      </c>
      <c r="M101" s="56"/>
      <c r="N101" s="56"/>
      <c r="O101" s="56"/>
      <c r="P101" s="56"/>
      <c r="Q101" s="56"/>
      <c r="R101" s="56"/>
      <c r="S101" s="56"/>
      <c r="T101" s="56"/>
      <c r="U101" s="56"/>
      <c r="V101" s="56">
        <f t="shared" si="28"/>
        <v>0</v>
      </c>
      <c r="W101" s="56" t="s">
        <v>121</v>
      </c>
      <c r="X101" s="56"/>
      <c r="Y101" s="56"/>
      <c r="Z101" s="56">
        <v>2</v>
      </c>
      <c r="AA101" s="56"/>
      <c r="AB101" s="56"/>
      <c r="AC101" s="56"/>
      <c r="AD101" s="56"/>
      <c r="AE101" s="56">
        <v>2</v>
      </c>
      <c r="AF101" s="56">
        <f t="shared" si="16"/>
        <v>2</v>
      </c>
      <c r="AG101" s="56">
        <f t="shared" si="17"/>
        <v>0</v>
      </c>
      <c r="AH101" s="56">
        <f t="shared" si="18"/>
        <v>0</v>
      </c>
      <c r="AI101" s="56">
        <f t="shared" si="19"/>
        <v>2</v>
      </c>
      <c r="AJ101" s="56">
        <f t="shared" si="20"/>
        <v>0</v>
      </c>
      <c r="AK101" s="56">
        <f t="shared" si="21"/>
        <v>0</v>
      </c>
      <c r="AL101" s="56">
        <f t="shared" si="22"/>
        <v>0</v>
      </c>
      <c r="AM101" s="56">
        <f t="shared" si="23"/>
        <v>0</v>
      </c>
      <c r="AN101" s="56">
        <f t="shared" si="24"/>
        <v>0</v>
      </c>
      <c r="AO101" s="58">
        <f t="shared" si="25"/>
        <v>2</v>
      </c>
      <c r="AP101" s="69"/>
      <c r="AQ101" s="40">
        <v>0</v>
      </c>
      <c r="AR101" s="40">
        <f t="shared" si="27"/>
        <v>2</v>
      </c>
      <c r="AS101" s="31">
        <v>0</v>
      </c>
      <c r="AT101" s="31">
        <v>0</v>
      </c>
      <c r="AU101" s="31">
        <v>0</v>
      </c>
      <c r="AV101" s="39">
        <v>0</v>
      </c>
      <c r="AW101" s="31"/>
      <c r="AX101" s="31"/>
      <c r="AY101" s="31"/>
      <c r="AZ101" s="31"/>
      <c r="BA101" s="39"/>
      <c r="BB101" s="152">
        <f t="shared" si="26"/>
        <v>2</v>
      </c>
      <c r="BC101" s="43">
        <v>517476</v>
      </c>
      <c r="BD101" s="43">
        <v>171658</v>
      </c>
      <c r="BE101" t="s">
        <v>1487</v>
      </c>
      <c r="BF101"/>
    </row>
    <row r="102" spans="1:66" ht="15" customHeight="1" x14ac:dyDescent="0.25">
      <c r="A102" s="56" t="s">
        <v>122</v>
      </c>
      <c r="B102" s="19" t="s">
        <v>20</v>
      </c>
      <c r="C102" s="56"/>
      <c r="D102" s="34">
        <v>42691</v>
      </c>
      <c r="E102" s="34">
        <v>43786</v>
      </c>
      <c r="F102" s="34">
        <v>43754</v>
      </c>
      <c r="G102" s="37"/>
      <c r="H102" s="59" t="s">
        <v>1101</v>
      </c>
      <c r="I102" s="56" t="s">
        <v>1215</v>
      </c>
      <c r="J102" s="56"/>
      <c r="K102" s="56" t="s">
        <v>123</v>
      </c>
      <c r="L102" s="57" t="s">
        <v>124</v>
      </c>
      <c r="M102" s="56"/>
      <c r="N102" s="56"/>
      <c r="O102" s="56"/>
      <c r="P102" s="56"/>
      <c r="Q102" s="56"/>
      <c r="R102" s="56"/>
      <c r="S102" s="56"/>
      <c r="T102" s="56"/>
      <c r="U102" s="56"/>
      <c r="V102" s="56">
        <f t="shared" si="28"/>
        <v>0</v>
      </c>
      <c r="W102" s="56" t="s">
        <v>121</v>
      </c>
      <c r="X102" s="56"/>
      <c r="Y102" s="56"/>
      <c r="Z102" s="56">
        <v>3</v>
      </c>
      <c r="AA102" s="56"/>
      <c r="AB102" s="56"/>
      <c r="AC102" s="56"/>
      <c r="AD102" s="56"/>
      <c r="AE102" s="56">
        <v>3</v>
      </c>
      <c r="AF102" s="56">
        <f t="shared" si="16"/>
        <v>3</v>
      </c>
      <c r="AG102" s="56">
        <f t="shared" si="17"/>
        <v>0</v>
      </c>
      <c r="AH102" s="56">
        <f t="shared" si="18"/>
        <v>0</v>
      </c>
      <c r="AI102" s="56">
        <f t="shared" si="19"/>
        <v>3</v>
      </c>
      <c r="AJ102" s="56">
        <f t="shared" si="20"/>
        <v>0</v>
      </c>
      <c r="AK102" s="56">
        <f t="shared" si="21"/>
        <v>0</v>
      </c>
      <c r="AL102" s="56">
        <f t="shared" si="22"/>
        <v>0</v>
      </c>
      <c r="AM102" s="56">
        <f t="shared" si="23"/>
        <v>0</v>
      </c>
      <c r="AN102" s="56">
        <f t="shared" si="24"/>
        <v>0</v>
      </c>
      <c r="AO102" s="58">
        <f t="shared" si="25"/>
        <v>3</v>
      </c>
      <c r="AP102" s="69"/>
      <c r="AQ102" s="40">
        <v>0</v>
      </c>
      <c r="AR102" s="40">
        <f t="shared" si="27"/>
        <v>3</v>
      </c>
      <c r="AS102" s="31">
        <v>0</v>
      </c>
      <c r="AT102" s="31">
        <v>0</v>
      </c>
      <c r="AU102" s="31">
        <v>0</v>
      </c>
      <c r="AV102" s="39">
        <v>0</v>
      </c>
      <c r="AW102" s="31"/>
      <c r="AX102" s="31"/>
      <c r="AY102" s="31"/>
      <c r="AZ102" s="31"/>
      <c r="BA102" s="39"/>
      <c r="BB102" s="152">
        <f t="shared" si="26"/>
        <v>3</v>
      </c>
      <c r="BC102" s="43">
        <v>517848</v>
      </c>
      <c r="BD102" s="43">
        <v>172830</v>
      </c>
      <c r="BE102" t="s">
        <v>1487</v>
      </c>
      <c r="BF102"/>
    </row>
    <row r="103" spans="1:66" ht="15" customHeight="1" x14ac:dyDescent="0.25">
      <c r="A103" s="56" t="s">
        <v>126</v>
      </c>
      <c r="B103" s="19" t="s">
        <v>31</v>
      </c>
      <c r="C103" s="56"/>
      <c r="D103" s="34">
        <v>42650</v>
      </c>
      <c r="E103" s="34">
        <v>43745</v>
      </c>
      <c r="F103" s="34">
        <v>43160</v>
      </c>
      <c r="G103" s="19"/>
      <c r="H103" s="59" t="s">
        <v>1101</v>
      </c>
      <c r="I103" s="19" t="s">
        <v>1173</v>
      </c>
      <c r="J103" s="19"/>
      <c r="K103" s="56" t="s">
        <v>127</v>
      </c>
      <c r="L103" s="57" t="s">
        <v>128</v>
      </c>
      <c r="M103" s="56" t="s">
        <v>129</v>
      </c>
      <c r="N103" s="56"/>
      <c r="O103" s="56"/>
      <c r="P103" s="56"/>
      <c r="Q103" s="56"/>
      <c r="R103" s="56"/>
      <c r="S103" s="56"/>
      <c r="T103" s="56"/>
      <c r="U103" s="56"/>
      <c r="V103" s="56">
        <f t="shared" si="28"/>
        <v>0</v>
      </c>
      <c r="W103" s="56"/>
      <c r="X103" s="56"/>
      <c r="Y103" s="56">
        <v>6</v>
      </c>
      <c r="Z103" s="56"/>
      <c r="AA103" s="56"/>
      <c r="AB103" s="56"/>
      <c r="AC103" s="56"/>
      <c r="AD103" s="56"/>
      <c r="AE103" s="56"/>
      <c r="AF103" s="56">
        <f t="shared" si="16"/>
        <v>6</v>
      </c>
      <c r="AG103" s="56">
        <f t="shared" si="17"/>
        <v>0</v>
      </c>
      <c r="AH103" s="56">
        <f t="shared" si="18"/>
        <v>6</v>
      </c>
      <c r="AI103" s="56">
        <f t="shared" si="19"/>
        <v>0</v>
      </c>
      <c r="AJ103" s="56">
        <f t="shared" si="20"/>
        <v>0</v>
      </c>
      <c r="AK103" s="56">
        <f t="shared" si="21"/>
        <v>0</v>
      </c>
      <c r="AL103" s="56">
        <f t="shared" si="22"/>
        <v>0</v>
      </c>
      <c r="AM103" s="56">
        <f t="shared" si="23"/>
        <v>0</v>
      </c>
      <c r="AN103" s="56">
        <f t="shared" si="24"/>
        <v>0</v>
      </c>
      <c r="AO103" s="58">
        <f t="shared" si="25"/>
        <v>6</v>
      </c>
      <c r="AP103" s="69"/>
      <c r="AQ103" s="40">
        <v>0</v>
      </c>
      <c r="AR103" s="40">
        <f t="shared" si="27"/>
        <v>6</v>
      </c>
      <c r="AS103" s="31">
        <v>0</v>
      </c>
      <c r="AT103" s="31">
        <v>0</v>
      </c>
      <c r="AU103" s="31">
        <v>0</v>
      </c>
      <c r="AV103" s="39">
        <v>0</v>
      </c>
      <c r="AW103" s="31"/>
      <c r="AX103" s="31"/>
      <c r="AY103" s="31"/>
      <c r="AZ103" s="31"/>
      <c r="BA103" s="39"/>
      <c r="BB103" s="152">
        <f t="shared" si="26"/>
        <v>6</v>
      </c>
      <c r="BC103" s="43">
        <v>516013</v>
      </c>
      <c r="BD103" s="43">
        <v>171023</v>
      </c>
      <c r="BE103" t="s">
        <v>1405</v>
      </c>
      <c r="BF103"/>
      <c r="BM103" t="s">
        <v>1545</v>
      </c>
      <c r="BN103" t="s">
        <v>1520</v>
      </c>
    </row>
    <row r="104" spans="1:66" ht="15" customHeight="1" x14ac:dyDescent="0.25">
      <c r="A104" s="56" t="s">
        <v>138</v>
      </c>
      <c r="B104" s="19" t="s">
        <v>20</v>
      </c>
      <c r="C104" s="56"/>
      <c r="D104" s="34">
        <v>43532</v>
      </c>
      <c r="E104" s="34">
        <v>44628</v>
      </c>
      <c r="F104" s="34">
        <v>43739</v>
      </c>
      <c r="G104" s="19"/>
      <c r="H104" s="36" t="s">
        <v>1101</v>
      </c>
      <c r="I104" s="19" t="s">
        <v>1173</v>
      </c>
      <c r="J104" s="19"/>
      <c r="K104" s="56" t="s">
        <v>139</v>
      </c>
      <c r="L104" s="57" t="s">
        <v>140</v>
      </c>
      <c r="M104" s="56" t="s">
        <v>141</v>
      </c>
      <c r="N104" s="56"/>
      <c r="O104" s="56">
        <v>2</v>
      </c>
      <c r="P104" s="56"/>
      <c r="Q104" s="56"/>
      <c r="R104" s="56"/>
      <c r="S104" s="56"/>
      <c r="T104" s="56"/>
      <c r="U104" s="56"/>
      <c r="V104" s="56">
        <f t="shared" si="28"/>
        <v>2</v>
      </c>
      <c r="W104" s="56"/>
      <c r="X104" s="56"/>
      <c r="Y104" s="56"/>
      <c r="Z104" s="56"/>
      <c r="AA104" s="56">
        <v>2</v>
      </c>
      <c r="AB104" s="56"/>
      <c r="AC104" s="56"/>
      <c r="AD104" s="56"/>
      <c r="AE104" s="56"/>
      <c r="AF104" s="56">
        <f t="shared" si="16"/>
        <v>2</v>
      </c>
      <c r="AG104" s="56">
        <f t="shared" si="17"/>
        <v>0</v>
      </c>
      <c r="AH104" s="56">
        <f t="shared" si="18"/>
        <v>-2</v>
      </c>
      <c r="AI104" s="56">
        <f t="shared" si="19"/>
        <v>0</v>
      </c>
      <c r="AJ104" s="56">
        <f t="shared" si="20"/>
        <v>2</v>
      </c>
      <c r="AK104" s="56">
        <f t="shared" si="21"/>
        <v>0</v>
      </c>
      <c r="AL104" s="56">
        <f t="shared" si="22"/>
        <v>0</v>
      </c>
      <c r="AM104" s="56">
        <f t="shared" si="23"/>
        <v>0</v>
      </c>
      <c r="AN104" s="56">
        <f t="shared" si="24"/>
        <v>0</v>
      </c>
      <c r="AO104" s="58">
        <f t="shared" si="25"/>
        <v>0</v>
      </c>
      <c r="AP104" s="69"/>
      <c r="AQ104" s="40">
        <v>0</v>
      </c>
      <c r="AR104" s="40">
        <f t="shared" si="27"/>
        <v>0</v>
      </c>
      <c r="AS104" s="31">
        <v>0</v>
      </c>
      <c r="AT104" s="31">
        <v>0</v>
      </c>
      <c r="AU104" s="31">
        <v>0</v>
      </c>
      <c r="AV104" s="39">
        <v>0</v>
      </c>
      <c r="AW104" s="31"/>
      <c r="AX104" s="31"/>
      <c r="AY104" s="31"/>
      <c r="AZ104" s="31"/>
      <c r="BA104" s="39"/>
      <c r="BB104" s="152">
        <f t="shared" si="26"/>
        <v>0</v>
      </c>
      <c r="BC104" s="43">
        <v>517831</v>
      </c>
      <c r="BD104" s="43">
        <v>174076</v>
      </c>
      <c r="BE104" t="s">
        <v>1426</v>
      </c>
      <c r="BF104"/>
    </row>
    <row r="105" spans="1:66" ht="15" customHeight="1" x14ac:dyDescent="0.25">
      <c r="A105" s="56" t="s">
        <v>164</v>
      </c>
      <c r="B105" s="19" t="s">
        <v>20</v>
      </c>
      <c r="C105" s="56"/>
      <c r="D105" s="34">
        <v>43749</v>
      </c>
      <c r="E105" s="34">
        <v>44845</v>
      </c>
      <c r="F105" s="37">
        <v>43754</v>
      </c>
      <c r="G105" s="19"/>
      <c r="H105" s="59" t="s">
        <v>1101</v>
      </c>
      <c r="I105" s="19" t="s">
        <v>1173</v>
      </c>
      <c r="J105" s="19"/>
      <c r="K105" s="56" t="s">
        <v>165</v>
      </c>
      <c r="L105" s="57" t="s">
        <v>166</v>
      </c>
      <c r="M105" s="56"/>
      <c r="N105" s="56">
        <v>1</v>
      </c>
      <c r="O105" s="56"/>
      <c r="P105" s="56"/>
      <c r="Q105" s="56"/>
      <c r="R105" s="56"/>
      <c r="S105" s="56"/>
      <c r="T105" s="56"/>
      <c r="U105" s="56"/>
      <c r="V105" s="56">
        <f t="shared" si="28"/>
        <v>1</v>
      </c>
      <c r="W105" s="56"/>
      <c r="X105" s="56"/>
      <c r="Y105" s="56">
        <v>2</v>
      </c>
      <c r="Z105" s="56">
        <v>5</v>
      </c>
      <c r="AA105" s="56"/>
      <c r="AB105" s="56"/>
      <c r="AC105" s="56">
        <v>2</v>
      </c>
      <c r="AD105" s="56"/>
      <c r="AE105" s="56"/>
      <c r="AF105" s="56">
        <f t="shared" si="16"/>
        <v>9</v>
      </c>
      <c r="AG105" s="56">
        <f t="shared" si="17"/>
        <v>-1</v>
      </c>
      <c r="AH105" s="56">
        <f t="shared" si="18"/>
        <v>2</v>
      </c>
      <c r="AI105" s="56">
        <f t="shared" si="19"/>
        <v>5</v>
      </c>
      <c r="AJ105" s="56">
        <f t="shared" si="20"/>
        <v>0</v>
      </c>
      <c r="AK105" s="56">
        <f t="shared" si="21"/>
        <v>0</v>
      </c>
      <c r="AL105" s="56">
        <f t="shared" si="22"/>
        <v>2</v>
      </c>
      <c r="AM105" s="56">
        <f t="shared" si="23"/>
        <v>0</v>
      </c>
      <c r="AN105" s="56">
        <f t="shared" si="24"/>
        <v>0</v>
      </c>
      <c r="AO105" s="58">
        <f t="shared" si="25"/>
        <v>8</v>
      </c>
      <c r="AP105" s="69"/>
      <c r="AQ105" s="40">
        <v>0</v>
      </c>
      <c r="AR105" s="40">
        <f t="shared" si="27"/>
        <v>8</v>
      </c>
      <c r="AS105" s="31">
        <v>0</v>
      </c>
      <c r="AT105" s="31">
        <v>0</v>
      </c>
      <c r="AU105" s="31">
        <v>0</v>
      </c>
      <c r="AV105" s="39">
        <v>0</v>
      </c>
      <c r="AW105" s="31"/>
      <c r="AX105" s="31"/>
      <c r="AY105" s="31"/>
      <c r="AZ105" s="31"/>
      <c r="BA105" s="39"/>
      <c r="BB105" s="152">
        <f t="shared" si="26"/>
        <v>8</v>
      </c>
      <c r="BC105" s="43">
        <v>518559</v>
      </c>
      <c r="BD105" s="43">
        <v>174698</v>
      </c>
      <c r="BE105" t="s">
        <v>1423</v>
      </c>
      <c r="BF105"/>
      <c r="BM105" t="s">
        <v>1545</v>
      </c>
      <c r="BN105" t="s">
        <v>1493</v>
      </c>
    </row>
    <row r="106" spans="1:66" ht="15" customHeight="1" x14ac:dyDescent="0.25">
      <c r="A106" s="56" t="s">
        <v>167</v>
      </c>
      <c r="B106" s="19" t="s">
        <v>20</v>
      </c>
      <c r="C106" s="56"/>
      <c r="D106" s="34">
        <v>42831</v>
      </c>
      <c r="E106" s="34">
        <v>43928</v>
      </c>
      <c r="F106" s="37">
        <v>43884</v>
      </c>
      <c r="G106" s="19"/>
      <c r="H106" s="59" t="s">
        <v>1101</v>
      </c>
      <c r="I106" s="19" t="s">
        <v>1173</v>
      </c>
      <c r="J106" s="19"/>
      <c r="K106" s="56" t="s">
        <v>168</v>
      </c>
      <c r="L106" s="57" t="s">
        <v>169</v>
      </c>
      <c r="M106" s="56"/>
      <c r="N106" s="56"/>
      <c r="O106" s="56"/>
      <c r="P106" s="56">
        <v>1</v>
      </c>
      <c r="Q106" s="56"/>
      <c r="R106" s="56"/>
      <c r="S106" s="56"/>
      <c r="T106" s="56"/>
      <c r="U106" s="56"/>
      <c r="V106" s="56">
        <f t="shared" si="28"/>
        <v>1</v>
      </c>
      <c r="W106" s="56"/>
      <c r="X106" s="56"/>
      <c r="Y106" s="56">
        <v>2</v>
      </c>
      <c r="Z106" s="56"/>
      <c r="AA106" s="56"/>
      <c r="AB106" s="56"/>
      <c r="AC106" s="56"/>
      <c r="AD106" s="56"/>
      <c r="AE106" s="56"/>
      <c r="AF106" s="56">
        <f t="shared" si="16"/>
        <v>2</v>
      </c>
      <c r="AG106" s="56">
        <f t="shared" si="17"/>
        <v>0</v>
      </c>
      <c r="AH106" s="56">
        <f t="shared" si="18"/>
        <v>2</v>
      </c>
      <c r="AI106" s="56">
        <f t="shared" si="19"/>
        <v>-1</v>
      </c>
      <c r="AJ106" s="56">
        <f t="shared" si="20"/>
        <v>0</v>
      </c>
      <c r="AK106" s="56">
        <f t="shared" si="21"/>
        <v>0</v>
      </c>
      <c r="AL106" s="56">
        <f t="shared" si="22"/>
        <v>0</v>
      </c>
      <c r="AM106" s="56">
        <f t="shared" si="23"/>
        <v>0</v>
      </c>
      <c r="AN106" s="56">
        <f t="shared" si="24"/>
        <v>0</v>
      </c>
      <c r="AO106" s="58">
        <f t="shared" si="25"/>
        <v>1</v>
      </c>
      <c r="AP106" s="69"/>
      <c r="AQ106" s="40">
        <v>0</v>
      </c>
      <c r="AR106" s="40">
        <f t="shared" si="27"/>
        <v>1</v>
      </c>
      <c r="AS106" s="31">
        <v>0</v>
      </c>
      <c r="AT106" s="31">
        <v>0</v>
      </c>
      <c r="AU106" s="31">
        <v>0</v>
      </c>
      <c r="AV106" s="39">
        <v>0</v>
      </c>
      <c r="AW106" s="31"/>
      <c r="AX106" s="31"/>
      <c r="AY106" s="31"/>
      <c r="AZ106" s="31"/>
      <c r="BA106" s="39"/>
      <c r="BB106" s="152">
        <f t="shared" si="26"/>
        <v>1</v>
      </c>
      <c r="BC106" s="43">
        <v>514775</v>
      </c>
      <c r="BD106" s="43">
        <v>172397</v>
      </c>
      <c r="BE106" t="s">
        <v>1427</v>
      </c>
      <c r="BF106"/>
    </row>
    <row r="107" spans="1:66" ht="15" customHeight="1" x14ac:dyDescent="0.25">
      <c r="A107" s="56" t="s">
        <v>173</v>
      </c>
      <c r="B107" s="19" t="s">
        <v>31</v>
      </c>
      <c r="C107" s="56"/>
      <c r="D107" s="34">
        <v>42565</v>
      </c>
      <c r="E107" s="34">
        <v>43660</v>
      </c>
      <c r="F107" s="37">
        <v>43656</v>
      </c>
      <c r="G107" s="19"/>
      <c r="H107" s="59" t="s">
        <v>1101</v>
      </c>
      <c r="I107" s="19" t="s">
        <v>1173</v>
      </c>
      <c r="J107" s="19"/>
      <c r="K107" s="56" t="s">
        <v>174</v>
      </c>
      <c r="L107" s="57" t="s">
        <v>175</v>
      </c>
      <c r="M107" s="56"/>
      <c r="N107" s="56"/>
      <c r="O107" s="56"/>
      <c r="P107" s="56"/>
      <c r="Q107" s="56"/>
      <c r="R107" s="56"/>
      <c r="S107" s="56"/>
      <c r="T107" s="56"/>
      <c r="U107" s="56"/>
      <c r="V107" s="56">
        <f t="shared" si="28"/>
        <v>0</v>
      </c>
      <c r="W107" s="56"/>
      <c r="X107" s="56">
        <v>9</v>
      </c>
      <c r="Y107" s="56"/>
      <c r="Z107" s="56"/>
      <c r="AA107" s="56"/>
      <c r="AB107" s="56"/>
      <c r="AC107" s="56"/>
      <c r="AD107" s="56"/>
      <c r="AE107" s="56"/>
      <c r="AF107" s="56">
        <f t="shared" si="16"/>
        <v>9</v>
      </c>
      <c r="AG107" s="56">
        <f t="shared" si="17"/>
        <v>9</v>
      </c>
      <c r="AH107" s="56">
        <f t="shared" si="18"/>
        <v>0</v>
      </c>
      <c r="AI107" s="56">
        <f t="shared" si="19"/>
        <v>0</v>
      </c>
      <c r="AJ107" s="56">
        <f t="shared" si="20"/>
        <v>0</v>
      </c>
      <c r="AK107" s="56">
        <f t="shared" si="21"/>
        <v>0</v>
      </c>
      <c r="AL107" s="56">
        <f t="shared" si="22"/>
        <v>0</v>
      </c>
      <c r="AM107" s="56">
        <f t="shared" si="23"/>
        <v>0</v>
      </c>
      <c r="AN107" s="56">
        <f t="shared" si="24"/>
        <v>0</v>
      </c>
      <c r="AO107" s="58">
        <f t="shared" si="25"/>
        <v>9</v>
      </c>
      <c r="AP107" s="69"/>
      <c r="AQ107" s="40">
        <v>0</v>
      </c>
      <c r="AR107" s="40">
        <f t="shared" si="27"/>
        <v>9</v>
      </c>
      <c r="AS107" s="31">
        <v>0</v>
      </c>
      <c r="AT107" s="31">
        <v>0</v>
      </c>
      <c r="AU107" s="31">
        <v>0</v>
      </c>
      <c r="AV107" s="39">
        <v>0</v>
      </c>
      <c r="AW107" s="31"/>
      <c r="AX107" s="31"/>
      <c r="AY107" s="31"/>
      <c r="AZ107" s="31"/>
      <c r="BA107" s="39"/>
      <c r="BB107" s="152">
        <f t="shared" si="26"/>
        <v>9</v>
      </c>
      <c r="BC107" s="43">
        <v>517924</v>
      </c>
      <c r="BD107" s="43">
        <v>174891</v>
      </c>
      <c r="BE107" t="s">
        <v>1423</v>
      </c>
      <c r="BF107"/>
      <c r="BG107" t="s">
        <v>1403</v>
      </c>
      <c r="BM107" t="s">
        <v>1545</v>
      </c>
      <c r="BN107" t="s">
        <v>1511</v>
      </c>
    </row>
    <row r="108" spans="1:66" ht="15" customHeight="1" x14ac:dyDescent="0.25">
      <c r="A108" s="56" t="s">
        <v>180</v>
      </c>
      <c r="B108" s="19" t="s">
        <v>20</v>
      </c>
      <c r="C108" s="56"/>
      <c r="D108" s="34">
        <v>42613</v>
      </c>
      <c r="E108" s="34">
        <v>43708</v>
      </c>
      <c r="F108" s="34">
        <v>42864</v>
      </c>
      <c r="G108" s="34"/>
      <c r="H108" s="59" t="s">
        <v>1101</v>
      </c>
      <c r="I108" s="19" t="s">
        <v>1173</v>
      </c>
      <c r="J108" s="19"/>
      <c r="K108" s="56" t="s">
        <v>181</v>
      </c>
      <c r="L108" s="57" t="s">
        <v>182</v>
      </c>
      <c r="M108" s="56"/>
      <c r="N108" s="56"/>
      <c r="O108" s="56"/>
      <c r="P108" s="56"/>
      <c r="Q108" s="56"/>
      <c r="R108" s="56"/>
      <c r="S108" s="56"/>
      <c r="T108" s="56"/>
      <c r="U108" s="56"/>
      <c r="V108" s="56">
        <f t="shared" si="28"/>
        <v>0</v>
      </c>
      <c r="W108" s="56"/>
      <c r="X108" s="56"/>
      <c r="Y108" s="56">
        <v>1</v>
      </c>
      <c r="Z108" s="56"/>
      <c r="AA108" s="56"/>
      <c r="AB108" s="56"/>
      <c r="AC108" s="56"/>
      <c r="AD108" s="56"/>
      <c r="AE108" s="56"/>
      <c r="AF108" s="56">
        <f t="shared" si="16"/>
        <v>1</v>
      </c>
      <c r="AG108" s="56">
        <f t="shared" si="17"/>
        <v>0</v>
      </c>
      <c r="AH108" s="56">
        <f t="shared" si="18"/>
        <v>1</v>
      </c>
      <c r="AI108" s="56">
        <f t="shared" si="19"/>
        <v>0</v>
      </c>
      <c r="AJ108" s="56">
        <f t="shared" si="20"/>
        <v>0</v>
      </c>
      <c r="AK108" s="56">
        <f t="shared" si="21"/>
        <v>0</v>
      </c>
      <c r="AL108" s="56">
        <f t="shared" si="22"/>
        <v>0</v>
      </c>
      <c r="AM108" s="56">
        <f t="shared" si="23"/>
        <v>0</v>
      </c>
      <c r="AN108" s="56">
        <f t="shared" si="24"/>
        <v>0</v>
      </c>
      <c r="AO108" s="58">
        <f t="shared" si="25"/>
        <v>1</v>
      </c>
      <c r="AP108" s="69"/>
      <c r="AQ108" s="40">
        <v>0</v>
      </c>
      <c r="AR108" s="40">
        <f t="shared" si="27"/>
        <v>1</v>
      </c>
      <c r="AS108" s="31">
        <v>0</v>
      </c>
      <c r="AT108" s="31">
        <v>0</v>
      </c>
      <c r="AU108" s="31">
        <v>0</v>
      </c>
      <c r="AV108" s="39">
        <v>0</v>
      </c>
      <c r="AW108" s="31"/>
      <c r="AX108" s="31"/>
      <c r="AY108" s="31"/>
      <c r="AZ108" s="31"/>
      <c r="BA108" s="39"/>
      <c r="BB108" s="152">
        <f t="shared" si="26"/>
        <v>1</v>
      </c>
      <c r="BC108" s="43">
        <v>522622</v>
      </c>
      <c r="BD108" s="43">
        <v>177876</v>
      </c>
      <c r="BE108" t="s">
        <v>1414</v>
      </c>
      <c r="BF108"/>
      <c r="BM108" t="s">
        <v>1545</v>
      </c>
      <c r="BN108" t="s">
        <v>1508</v>
      </c>
    </row>
    <row r="109" spans="1:66" ht="15" customHeight="1" x14ac:dyDescent="0.25">
      <c r="A109" s="56" t="s">
        <v>194</v>
      </c>
      <c r="B109" s="19" t="s">
        <v>43</v>
      </c>
      <c r="C109" s="56"/>
      <c r="D109" s="34">
        <v>42479</v>
      </c>
      <c r="E109" s="34">
        <v>43574</v>
      </c>
      <c r="F109" s="34">
        <v>42552</v>
      </c>
      <c r="G109" s="19"/>
      <c r="H109" s="59" t="s">
        <v>1101</v>
      </c>
      <c r="I109" s="19" t="s">
        <v>1173</v>
      </c>
      <c r="J109" s="19"/>
      <c r="K109" s="56" t="s">
        <v>195</v>
      </c>
      <c r="L109" s="57" t="s">
        <v>196</v>
      </c>
      <c r="M109" s="56"/>
      <c r="N109" s="56"/>
      <c r="O109" s="56"/>
      <c r="P109" s="56"/>
      <c r="Q109" s="56">
        <v>1</v>
      </c>
      <c r="R109" s="56"/>
      <c r="S109" s="56"/>
      <c r="T109" s="56"/>
      <c r="U109" s="56"/>
      <c r="V109" s="56">
        <f t="shared" si="28"/>
        <v>1</v>
      </c>
      <c r="W109" s="56"/>
      <c r="X109" s="56"/>
      <c r="Y109" s="56"/>
      <c r="Z109" s="56"/>
      <c r="AA109" s="56">
        <v>2</v>
      </c>
      <c r="AB109" s="56"/>
      <c r="AC109" s="56"/>
      <c r="AD109" s="56"/>
      <c r="AE109" s="56"/>
      <c r="AF109" s="56">
        <f t="shared" si="16"/>
        <v>2</v>
      </c>
      <c r="AG109" s="56">
        <f t="shared" si="17"/>
        <v>0</v>
      </c>
      <c r="AH109" s="56">
        <f t="shared" si="18"/>
        <v>0</v>
      </c>
      <c r="AI109" s="56">
        <f t="shared" si="19"/>
        <v>0</v>
      </c>
      <c r="AJ109" s="56">
        <f t="shared" si="20"/>
        <v>1</v>
      </c>
      <c r="AK109" s="56">
        <f t="shared" si="21"/>
        <v>0</v>
      </c>
      <c r="AL109" s="56">
        <f t="shared" si="22"/>
        <v>0</v>
      </c>
      <c r="AM109" s="56">
        <f t="shared" si="23"/>
        <v>0</v>
      </c>
      <c r="AN109" s="56">
        <f t="shared" si="24"/>
        <v>0</v>
      </c>
      <c r="AO109" s="58">
        <f t="shared" si="25"/>
        <v>1</v>
      </c>
      <c r="AP109" s="69"/>
      <c r="AQ109" s="40">
        <v>0</v>
      </c>
      <c r="AR109" s="40">
        <f t="shared" si="27"/>
        <v>1</v>
      </c>
      <c r="AS109" s="31">
        <v>0</v>
      </c>
      <c r="AT109" s="31">
        <v>0</v>
      </c>
      <c r="AU109" s="31">
        <v>0</v>
      </c>
      <c r="AV109" s="39">
        <v>0</v>
      </c>
      <c r="AW109" s="31"/>
      <c r="AX109" s="31"/>
      <c r="AY109" s="31"/>
      <c r="AZ109" s="31"/>
      <c r="BA109" s="39"/>
      <c r="BB109" s="152">
        <f t="shared" si="26"/>
        <v>1</v>
      </c>
      <c r="BC109" s="43">
        <v>520343</v>
      </c>
      <c r="BD109" s="43">
        <v>175141</v>
      </c>
      <c r="BE109" t="s">
        <v>1402</v>
      </c>
      <c r="BF109"/>
    </row>
    <row r="110" spans="1:66" s="150" customFormat="1" ht="15" customHeight="1" x14ac:dyDescent="0.25">
      <c r="A110" s="150" t="s">
        <v>1393</v>
      </c>
      <c r="B110" s="19" t="s">
        <v>20</v>
      </c>
      <c r="D110" s="27">
        <v>42789</v>
      </c>
      <c r="E110" s="27">
        <v>43884</v>
      </c>
      <c r="F110" s="37">
        <v>43880</v>
      </c>
      <c r="G110" s="19"/>
      <c r="H110" s="59" t="s">
        <v>1101</v>
      </c>
      <c r="I110" s="19" t="s">
        <v>1173</v>
      </c>
      <c r="J110" s="19"/>
      <c r="K110" s="150" t="s">
        <v>1394</v>
      </c>
      <c r="L110" s="150" t="s">
        <v>1395</v>
      </c>
      <c r="V110" s="150">
        <f t="shared" si="28"/>
        <v>0</v>
      </c>
      <c r="X110" s="150">
        <v>4</v>
      </c>
      <c r="Y110" s="150">
        <v>2</v>
      </c>
      <c r="AF110" s="150">
        <f t="shared" si="16"/>
        <v>6</v>
      </c>
      <c r="AG110" s="150">
        <f t="shared" si="17"/>
        <v>4</v>
      </c>
      <c r="AH110" s="150">
        <f t="shared" si="18"/>
        <v>2</v>
      </c>
      <c r="AI110" s="150">
        <f t="shared" si="19"/>
        <v>0</v>
      </c>
      <c r="AJ110" s="150">
        <f t="shared" si="20"/>
        <v>0</v>
      </c>
      <c r="AK110" s="150">
        <f t="shared" si="21"/>
        <v>0</v>
      </c>
      <c r="AL110" s="150">
        <f t="shared" si="22"/>
        <v>0</v>
      </c>
      <c r="AM110" s="150">
        <f t="shared" si="23"/>
        <v>0</v>
      </c>
      <c r="AN110" s="150">
        <f t="shared" si="24"/>
        <v>0</v>
      </c>
      <c r="AO110" s="58">
        <f t="shared" si="25"/>
        <v>6</v>
      </c>
      <c r="AP110" s="248"/>
      <c r="AQ110" s="40">
        <v>0</v>
      </c>
      <c r="AR110" s="40">
        <v>0</v>
      </c>
      <c r="AS110" s="250">
        <v>3</v>
      </c>
      <c r="AT110" s="250">
        <v>3</v>
      </c>
      <c r="AU110" s="250">
        <v>0</v>
      </c>
      <c r="AV110" s="39">
        <v>0</v>
      </c>
      <c r="AW110" s="31"/>
      <c r="AX110" s="31"/>
      <c r="AY110" s="31"/>
      <c r="AZ110" s="31"/>
      <c r="BA110" s="39"/>
      <c r="BB110" s="152">
        <f t="shared" si="26"/>
        <v>6</v>
      </c>
      <c r="BC110" s="43">
        <v>519126</v>
      </c>
      <c r="BD110" s="43">
        <v>176420</v>
      </c>
      <c r="BE110" s="150" t="s">
        <v>1420</v>
      </c>
      <c r="BI110" s="150" t="s">
        <v>1551</v>
      </c>
      <c r="BJ110" s="150" t="s">
        <v>1521</v>
      </c>
      <c r="BM110" s="150" t="s">
        <v>1545</v>
      </c>
      <c r="BN110" s="150" t="s">
        <v>1510</v>
      </c>
    </row>
    <row r="111" spans="1:66" ht="15" customHeight="1" x14ac:dyDescent="0.25">
      <c r="A111" s="56" t="s">
        <v>198</v>
      </c>
      <c r="B111" s="19" t="s">
        <v>38</v>
      </c>
      <c r="C111" s="56"/>
      <c r="D111" s="34">
        <v>42719</v>
      </c>
      <c r="E111" s="34">
        <v>43814</v>
      </c>
      <c r="F111" s="34">
        <v>43497</v>
      </c>
      <c r="G111" s="19"/>
      <c r="H111" s="59" t="s">
        <v>1101</v>
      </c>
      <c r="I111" s="19" t="s">
        <v>1173</v>
      </c>
      <c r="J111" s="19"/>
      <c r="K111" s="56" t="s">
        <v>199</v>
      </c>
      <c r="L111" s="57" t="s">
        <v>200</v>
      </c>
      <c r="M111" s="56" t="s">
        <v>201</v>
      </c>
      <c r="N111" s="56"/>
      <c r="O111" s="56"/>
      <c r="P111" s="56"/>
      <c r="Q111" s="56"/>
      <c r="R111" s="56"/>
      <c r="S111" s="56"/>
      <c r="T111" s="56"/>
      <c r="U111" s="56"/>
      <c r="V111" s="56">
        <f t="shared" si="28"/>
        <v>0</v>
      </c>
      <c r="W111" s="56"/>
      <c r="X111" s="56">
        <v>1</v>
      </c>
      <c r="Y111" s="56"/>
      <c r="Z111" s="56"/>
      <c r="AA111" s="56"/>
      <c r="AB111" s="56"/>
      <c r="AC111" s="56"/>
      <c r="AD111" s="56"/>
      <c r="AE111" s="56"/>
      <c r="AF111" s="56">
        <f t="shared" si="16"/>
        <v>1</v>
      </c>
      <c r="AG111" s="56">
        <f t="shared" si="17"/>
        <v>1</v>
      </c>
      <c r="AH111" s="56">
        <f t="shared" si="18"/>
        <v>0</v>
      </c>
      <c r="AI111" s="56">
        <f t="shared" si="19"/>
        <v>0</v>
      </c>
      <c r="AJ111" s="56">
        <f t="shared" si="20"/>
        <v>0</v>
      </c>
      <c r="AK111" s="56">
        <f t="shared" si="21"/>
        <v>0</v>
      </c>
      <c r="AL111" s="56">
        <f t="shared" si="22"/>
        <v>0</v>
      </c>
      <c r="AM111" s="56">
        <f t="shared" si="23"/>
        <v>0</v>
      </c>
      <c r="AN111" s="56">
        <f t="shared" si="24"/>
        <v>0</v>
      </c>
      <c r="AO111" s="58">
        <f t="shared" si="25"/>
        <v>1</v>
      </c>
      <c r="AP111" s="69"/>
      <c r="AQ111" s="40">
        <v>0</v>
      </c>
      <c r="AR111" s="40">
        <f t="shared" ref="AR111:AR116" si="29">AO111</f>
        <v>1</v>
      </c>
      <c r="AS111" s="31">
        <v>0</v>
      </c>
      <c r="AT111" s="31">
        <v>0</v>
      </c>
      <c r="AU111" s="31">
        <v>0</v>
      </c>
      <c r="AV111" s="39">
        <v>0</v>
      </c>
      <c r="AW111" s="31"/>
      <c r="AX111" s="31"/>
      <c r="AY111" s="31"/>
      <c r="AZ111" s="31"/>
      <c r="BA111" s="39"/>
      <c r="BB111" s="152">
        <f t="shared" si="26"/>
        <v>1</v>
      </c>
      <c r="BC111" s="43">
        <v>517615</v>
      </c>
      <c r="BD111" s="43">
        <v>169709</v>
      </c>
      <c r="BE111" t="s">
        <v>1418</v>
      </c>
      <c r="BF111"/>
      <c r="BM111" t="s">
        <v>1545</v>
      </c>
      <c r="BN111" t="s">
        <v>1522</v>
      </c>
    </row>
    <row r="112" spans="1:66" ht="15" customHeight="1" x14ac:dyDescent="0.25">
      <c r="A112" s="56" t="s">
        <v>208</v>
      </c>
      <c r="B112" s="19" t="s">
        <v>31</v>
      </c>
      <c r="C112" s="56"/>
      <c r="D112" s="34">
        <v>42632</v>
      </c>
      <c r="E112" s="34">
        <v>43727</v>
      </c>
      <c r="F112" s="34">
        <v>43063</v>
      </c>
      <c r="G112" s="19"/>
      <c r="H112" s="59" t="s">
        <v>1101</v>
      </c>
      <c r="I112" s="19" t="s">
        <v>1173</v>
      </c>
      <c r="J112" s="19"/>
      <c r="K112" s="56" t="s">
        <v>209</v>
      </c>
      <c r="L112" s="57" t="s">
        <v>1117</v>
      </c>
      <c r="M112" s="56" t="s">
        <v>210</v>
      </c>
      <c r="N112" s="56"/>
      <c r="O112" s="56"/>
      <c r="P112" s="56"/>
      <c r="Q112" s="56"/>
      <c r="R112" s="56"/>
      <c r="S112" s="56"/>
      <c r="T112" s="56"/>
      <c r="U112" s="56"/>
      <c r="V112" s="56">
        <f t="shared" si="28"/>
        <v>0</v>
      </c>
      <c r="W112" s="56"/>
      <c r="X112" s="56"/>
      <c r="Y112" s="56"/>
      <c r="Z112" s="56"/>
      <c r="AA112" s="56"/>
      <c r="AB112" s="56">
        <v>1</v>
      </c>
      <c r="AC112" s="56"/>
      <c r="AD112" s="56"/>
      <c r="AE112" s="56"/>
      <c r="AF112" s="56">
        <f t="shared" si="16"/>
        <v>1</v>
      </c>
      <c r="AG112" s="56">
        <f t="shared" si="17"/>
        <v>0</v>
      </c>
      <c r="AH112" s="56">
        <f t="shared" si="18"/>
        <v>0</v>
      </c>
      <c r="AI112" s="56">
        <f t="shared" si="19"/>
        <v>0</v>
      </c>
      <c r="AJ112" s="56">
        <f t="shared" si="20"/>
        <v>0</v>
      </c>
      <c r="AK112" s="56">
        <f t="shared" si="21"/>
        <v>1</v>
      </c>
      <c r="AL112" s="56">
        <f t="shared" si="22"/>
        <v>0</v>
      </c>
      <c r="AM112" s="56">
        <f t="shared" si="23"/>
        <v>0</v>
      </c>
      <c r="AN112" s="56">
        <f t="shared" si="24"/>
        <v>0</v>
      </c>
      <c r="AO112" s="58">
        <f t="shared" si="25"/>
        <v>1</v>
      </c>
      <c r="AP112" s="69"/>
      <c r="AQ112" s="40">
        <v>0</v>
      </c>
      <c r="AR112" s="40">
        <f t="shared" si="29"/>
        <v>1</v>
      </c>
      <c r="AS112" s="31">
        <v>0</v>
      </c>
      <c r="AT112" s="31">
        <v>0</v>
      </c>
      <c r="AU112" s="31">
        <v>0</v>
      </c>
      <c r="AV112" s="39">
        <v>0</v>
      </c>
      <c r="AW112" s="31"/>
      <c r="AX112" s="31"/>
      <c r="AY112" s="31"/>
      <c r="AZ112" s="31"/>
      <c r="BA112" s="39"/>
      <c r="BB112" s="152">
        <f t="shared" si="26"/>
        <v>1</v>
      </c>
      <c r="BC112" s="43">
        <v>517807</v>
      </c>
      <c r="BD112" s="43">
        <v>174892</v>
      </c>
      <c r="BE112" t="s">
        <v>1423</v>
      </c>
      <c r="BF112"/>
      <c r="BG112" t="s">
        <v>1403</v>
      </c>
      <c r="BM112" t="s">
        <v>1545</v>
      </c>
      <c r="BN112" t="s">
        <v>1523</v>
      </c>
    </row>
    <row r="113" spans="1:66" ht="15" customHeight="1" x14ac:dyDescent="0.25">
      <c r="A113" s="56" t="s">
        <v>214</v>
      </c>
      <c r="B113" s="19" t="s">
        <v>20</v>
      </c>
      <c r="C113" s="56"/>
      <c r="D113" s="34">
        <v>42885</v>
      </c>
      <c r="E113" s="34">
        <v>43981</v>
      </c>
      <c r="F113" s="34">
        <v>43556</v>
      </c>
      <c r="G113" s="19"/>
      <c r="H113" s="36" t="s">
        <v>1101</v>
      </c>
      <c r="I113" s="19" t="s">
        <v>1173</v>
      </c>
      <c r="J113" s="19"/>
      <c r="K113" s="56" t="s">
        <v>215</v>
      </c>
      <c r="L113" s="57" t="s">
        <v>216</v>
      </c>
      <c r="M113" s="56" t="s">
        <v>217</v>
      </c>
      <c r="N113" s="56">
        <v>1</v>
      </c>
      <c r="O113" s="56"/>
      <c r="P113" s="56"/>
      <c r="Q113" s="56"/>
      <c r="R113" s="56"/>
      <c r="S113" s="56"/>
      <c r="T113" s="56"/>
      <c r="U113" s="56"/>
      <c r="V113" s="56">
        <f t="shared" si="28"/>
        <v>1</v>
      </c>
      <c r="W113" s="56"/>
      <c r="X113" s="56"/>
      <c r="Y113" s="56"/>
      <c r="Z113" s="56">
        <v>1</v>
      </c>
      <c r="AA113" s="56"/>
      <c r="AB113" s="56"/>
      <c r="AC113" s="56"/>
      <c r="AD113" s="56"/>
      <c r="AE113" s="56"/>
      <c r="AF113" s="56">
        <f t="shared" si="16"/>
        <v>1</v>
      </c>
      <c r="AG113" s="56">
        <f t="shared" si="17"/>
        <v>-1</v>
      </c>
      <c r="AH113" s="56">
        <f t="shared" si="18"/>
        <v>0</v>
      </c>
      <c r="AI113" s="56">
        <f t="shared" si="19"/>
        <v>1</v>
      </c>
      <c r="AJ113" s="56">
        <f t="shared" si="20"/>
        <v>0</v>
      </c>
      <c r="AK113" s="56">
        <f t="shared" si="21"/>
        <v>0</v>
      </c>
      <c r="AL113" s="56">
        <f t="shared" si="22"/>
        <v>0</v>
      </c>
      <c r="AM113" s="56">
        <f t="shared" si="23"/>
        <v>0</v>
      </c>
      <c r="AN113" s="56">
        <f t="shared" si="24"/>
        <v>0</v>
      </c>
      <c r="AO113" s="58">
        <f t="shared" si="25"/>
        <v>0</v>
      </c>
      <c r="AP113" s="69"/>
      <c r="AQ113" s="40">
        <v>0</v>
      </c>
      <c r="AR113" s="40">
        <f t="shared" si="29"/>
        <v>0</v>
      </c>
      <c r="AS113" s="31">
        <v>0</v>
      </c>
      <c r="AT113" s="31">
        <v>0</v>
      </c>
      <c r="AU113" s="31">
        <v>0</v>
      </c>
      <c r="AV113" s="39">
        <v>0</v>
      </c>
      <c r="AW113" s="31"/>
      <c r="AX113" s="31"/>
      <c r="AY113" s="31"/>
      <c r="AZ113" s="31"/>
      <c r="BA113" s="39"/>
      <c r="BB113" s="152">
        <f t="shared" si="26"/>
        <v>0</v>
      </c>
      <c r="BC113" s="43">
        <v>521779</v>
      </c>
      <c r="BD113" s="43">
        <v>176827</v>
      </c>
      <c r="BE113" t="s">
        <v>1414</v>
      </c>
      <c r="BF113"/>
    </row>
    <row r="114" spans="1:66" ht="15" customHeight="1" x14ac:dyDescent="0.25">
      <c r="A114" s="56" t="s">
        <v>218</v>
      </c>
      <c r="B114" s="19" t="s">
        <v>31</v>
      </c>
      <c r="C114" s="56"/>
      <c r="D114" s="34">
        <v>42689</v>
      </c>
      <c r="E114" s="34">
        <v>44136</v>
      </c>
      <c r="F114" s="34">
        <v>43479</v>
      </c>
      <c r="G114" s="37">
        <v>43969</v>
      </c>
      <c r="H114" s="36" t="s">
        <v>1101</v>
      </c>
      <c r="I114" s="19" t="s">
        <v>1173</v>
      </c>
      <c r="J114" s="19"/>
      <c r="K114" s="56" t="s">
        <v>219</v>
      </c>
      <c r="L114" s="57" t="s">
        <v>220</v>
      </c>
      <c r="M114" s="56"/>
      <c r="N114" s="56"/>
      <c r="O114" s="56"/>
      <c r="P114" s="56"/>
      <c r="Q114" s="56"/>
      <c r="R114" s="56"/>
      <c r="S114" s="56"/>
      <c r="T114" s="56"/>
      <c r="U114" s="56"/>
      <c r="V114" s="56">
        <f t="shared" si="28"/>
        <v>0</v>
      </c>
      <c r="W114" s="56"/>
      <c r="X114" s="56"/>
      <c r="Y114" s="56">
        <v>1</v>
      </c>
      <c r="Z114" s="56"/>
      <c r="AA114" s="56"/>
      <c r="AB114" s="56"/>
      <c r="AC114" s="56"/>
      <c r="AD114" s="56"/>
      <c r="AE114" s="56"/>
      <c r="AF114" s="56">
        <f t="shared" si="16"/>
        <v>1</v>
      </c>
      <c r="AG114" s="56">
        <f t="shared" si="17"/>
        <v>0</v>
      </c>
      <c r="AH114" s="56">
        <f t="shared" si="18"/>
        <v>1</v>
      </c>
      <c r="AI114" s="56">
        <f t="shared" si="19"/>
        <v>0</v>
      </c>
      <c r="AJ114" s="56">
        <f t="shared" si="20"/>
        <v>0</v>
      </c>
      <c r="AK114" s="56">
        <f t="shared" si="21"/>
        <v>0</v>
      </c>
      <c r="AL114" s="56">
        <f t="shared" si="22"/>
        <v>0</v>
      </c>
      <c r="AM114" s="56">
        <f t="shared" si="23"/>
        <v>0</v>
      </c>
      <c r="AN114" s="56">
        <f t="shared" si="24"/>
        <v>0</v>
      </c>
      <c r="AO114" s="58">
        <f t="shared" si="25"/>
        <v>1</v>
      </c>
      <c r="AP114" s="69"/>
      <c r="AQ114" s="40">
        <v>0</v>
      </c>
      <c r="AR114" s="40">
        <f t="shared" si="29"/>
        <v>1</v>
      </c>
      <c r="AS114" s="31">
        <v>0</v>
      </c>
      <c r="AT114" s="31">
        <v>0</v>
      </c>
      <c r="AU114" s="31">
        <v>0</v>
      </c>
      <c r="AV114" s="39">
        <v>0</v>
      </c>
      <c r="AW114" s="31"/>
      <c r="AX114" s="31"/>
      <c r="AY114" s="31"/>
      <c r="AZ114" s="31"/>
      <c r="BA114" s="39"/>
      <c r="BB114" s="152">
        <f t="shared" si="26"/>
        <v>1</v>
      </c>
      <c r="BC114" s="43">
        <v>518846</v>
      </c>
      <c r="BD114" s="43">
        <v>177650</v>
      </c>
      <c r="BE114" t="s">
        <v>1420</v>
      </c>
      <c r="BF114"/>
      <c r="BH114" t="s">
        <v>1404</v>
      </c>
      <c r="BM114" t="s">
        <v>1545</v>
      </c>
      <c r="BN114" t="s">
        <v>1524</v>
      </c>
    </row>
    <row r="115" spans="1:66" ht="15" customHeight="1" x14ac:dyDescent="0.25">
      <c r="A115" s="56" t="s">
        <v>236</v>
      </c>
      <c r="B115" s="19" t="s">
        <v>38</v>
      </c>
      <c r="C115" s="56"/>
      <c r="D115" s="34">
        <v>42599</v>
      </c>
      <c r="E115" s="34">
        <v>43694</v>
      </c>
      <c r="F115" s="34">
        <v>43479</v>
      </c>
      <c r="G115" s="19"/>
      <c r="H115" s="59" t="s">
        <v>1101</v>
      </c>
      <c r="I115" s="19" t="s">
        <v>1173</v>
      </c>
      <c r="J115" s="19"/>
      <c r="K115" s="56" t="s">
        <v>237</v>
      </c>
      <c r="L115" s="57" t="s">
        <v>238</v>
      </c>
      <c r="M115" s="56"/>
      <c r="N115" s="56">
        <v>2</v>
      </c>
      <c r="O115" s="56">
        <v>2</v>
      </c>
      <c r="P115" s="56">
        <v>1</v>
      </c>
      <c r="Q115" s="56"/>
      <c r="R115" s="56"/>
      <c r="S115" s="56"/>
      <c r="T115" s="56"/>
      <c r="U115" s="56"/>
      <c r="V115" s="56">
        <f t="shared" si="28"/>
        <v>5</v>
      </c>
      <c r="W115" s="56"/>
      <c r="X115" s="56">
        <v>1</v>
      </c>
      <c r="Y115" s="56"/>
      <c r="Z115" s="56"/>
      <c r="AA115" s="56">
        <v>1</v>
      </c>
      <c r="AB115" s="56"/>
      <c r="AC115" s="56"/>
      <c r="AD115" s="56"/>
      <c r="AE115" s="56"/>
      <c r="AF115" s="56">
        <f t="shared" si="16"/>
        <v>2</v>
      </c>
      <c r="AG115" s="56">
        <f t="shared" si="17"/>
        <v>-1</v>
      </c>
      <c r="AH115" s="56">
        <f t="shared" si="18"/>
        <v>-2</v>
      </c>
      <c r="AI115" s="56">
        <f t="shared" si="19"/>
        <v>-1</v>
      </c>
      <c r="AJ115" s="56">
        <f t="shared" si="20"/>
        <v>1</v>
      </c>
      <c r="AK115" s="56">
        <f t="shared" si="21"/>
        <v>0</v>
      </c>
      <c r="AL115" s="56">
        <f t="shared" si="22"/>
        <v>0</v>
      </c>
      <c r="AM115" s="56">
        <f t="shared" si="23"/>
        <v>0</v>
      </c>
      <c r="AN115" s="56">
        <f t="shared" si="24"/>
        <v>0</v>
      </c>
      <c r="AO115" s="58">
        <f t="shared" si="25"/>
        <v>-3</v>
      </c>
      <c r="AP115" s="69"/>
      <c r="AQ115" s="40">
        <v>0</v>
      </c>
      <c r="AR115" s="40">
        <f t="shared" si="29"/>
        <v>-3</v>
      </c>
      <c r="AS115" s="31">
        <v>0</v>
      </c>
      <c r="AT115" s="31">
        <v>0</v>
      </c>
      <c r="AU115" s="31">
        <v>0</v>
      </c>
      <c r="AV115" s="39">
        <v>0</v>
      </c>
      <c r="AW115" s="31"/>
      <c r="AX115" s="31"/>
      <c r="AY115" s="31"/>
      <c r="AZ115" s="31"/>
      <c r="BA115" s="39"/>
      <c r="BB115" s="152">
        <f t="shared" si="26"/>
        <v>-3</v>
      </c>
      <c r="BC115" s="43">
        <v>518294</v>
      </c>
      <c r="BD115" s="43">
        <v>174078</v>
      </c>
      <c r="BE115" t="s">
        <v>1487</v>
      </c>
      <c r="BF115"/>
      <c r="BH115" t="s">
        <v>1404</v>
      </c>
      <c r="BM115" t="s">
        <v>1545</v>
      </c>
      <c r="BN115" t="s">
        <v>1518</v>
      </c>
    </row>
    <row r="116" spans="1:66" ht="15" customHeight="1" x14ac:dyDescent="0.25">
      <c r="A116" s="56" t="s">
        <v>245</v>
      </c>
      <c r="B116" s="19" t="s">
        <v>20</v>
      </c>
      <c r="C116" s="56"/>
      <c r="D116" s="34">
        <v>42801</v>
      </c>
      <c r="E116" s="34">
        <v>43897</v>
      </c>
      <c r="F116" s="34">
        <v>42865</v>
      </c>
      <c r="G116" s="37"/>
      <c r="H116" s="36" t="s">
        <v>1101</v>
      </c>
      <c r="I116" s="19" t="s">
        <v>1173</v>
      </c>
      <c r="J116" s="19"/>
      <c r="K116" s="56" t="s">
        <v>246</v>
      </c>
      <c r="L116" s="57" t="s">
        <v>247</v>
      </c>
      <c r="M116" s="56"/>
      <c r="N116" s="56"/>
      <c r="O116" s="56"/>
      <c r="P116" s="56"/>
      <c r="Q116" s="56">
        <v>1</v>
      </c>
      <c r="R116" s="56"/>
      <c r="S116" s="56"/>
      <c r="T116" s="56"/>
      <c r="U116" s="56"/>
      <c r="V116" s="56">
        <f t="shared" si="28"/>
        <v>1</v>
      </c>
      <c r="W116" s="56"/>
      <c r="X116" s="56"/>
      <c r="Y116" s="56"/>
      <c r="Z116" s="56"/>
      <c r="AA116" s="56">
        <v>1</v>
      </c>
      <c r="AB116" s="56"/>
      <c r="AC116" s="56"/>
      <c r="AD116" s="56"/>
      <c r="AE116" s="56"/>
      <c r="AF116" s="56">
        <f t="shared" si="16"/>
        <v>1</v>
      </c>
      <c r="AG116" s="56">
        <f t="shared" si="17"/>
        <v>0</v>
      </c>
      <c r="AH116" s="56">
        <f t="shared" si="18"/>
        <v>0</v>
      </c>
      <c r="AI116" s="56">
        <f t="shared" si="19"/>
        <v>0</v>
      </c>
      <c r="AJ116" s="56">
        <f t="shared" si="20"/>
        <v>0</v>
      </c>
      <c r="AK116" s="56">
        <f t="shared" si="21"/>
        <v>0</v>
      </c>
      <c r="AL116" s="56">
        <f t="shared" si="22"/>
        <v>0</v>
      </c>
      <c r="AM116" s="56">
        <f t="shared" si="23"/>
        <v>0</v>
      </c>
      <c r="AN116" s="56">
        <f t="shared" si="24"/>
        <v>0</v>
      </c>
      <c r="AO116" s="58">
        <f t="shared" si="25"/>
        <v>0</v>
      </c>
      <c r="AP116" s="69"/>
      <c r="AQ116" s="40">
        <v>0</v>
      </c>
      <c r="AR116" s="40">
        <f t="shared" si="29"/>
        <v>0</v>
      </c>
      <c r="AS116" s="31">
        <v>0</v>
      </c>
      <c r="AT116" s="31">
        <v>0</v>
      </c>
      <c r="AU116" s="31">
        <v>0</v>
      </c>
      <c r="AV116" s="39">
        <v>0</v>
      </c>
      <c r="AW116" s="31"/>
      <c r="AX116" s="31"/>
      <c r="AY116" s="31"/>
      <c r="AZ116" s="31"/>
      <c r="BA116" s="39"/>
      <c r="BB116" s="152">
        <f t="shared" si="26"/>
        <v>0</v>
      </c>
      <c r="BC116" s="43">
        <v>521872</v>
      </c>
      <c r="BD116" s="43">
        <v>177181</v>
      </c>
      <c r="BE116" t="s">
        <v>1414</v>
      </c>
      <c r="BF116"/>
    </row>
    <row r="117" spans="1:66" ht="15" customHeight="1" x14ac:dyDescent="0.25">
      <c r="A117" s="56" t="s">
        <v>248</v>
      </c>
      <c r="B117" s="19" t="s">
        <v>20</v>
      </c>
      <c r="C117" s="56"/>
      <c r="D117" s="34">
        <v>43018</v>
      </c>
      <c r="E117" s="34">
        <v>44114</v>
      </c>
      <c r="F117" s="34">
        <v>43801</v>
      </c>
      <c r="G117" s="19"/>
      <c r="H117" s="59" t="s">
        <v>1101</v>
      </c>
      <c r="I117" s="27" t="s">
        <v>1174</v>
      </c>
      <c r="J117" s="19"/>
      <c r="K117" s="56" t="s">
        <v>249</v>
      </c>
      <c r="L117" s="57" t="s">
        <v>250</v>
      </c>
      <c r="M117" s="56" t="s">
        <v>251</v>
      </c>
      <c r="N117" s="56"/>
      <c r="O117" s="56"/>
      <c r="P117" s="56"/>
      <c r="Q117" s="56"/>
      <c r="R117" s="56"/>
      <c r="S117" s="56"/>
      <c r="T117" s="56"/>
      <c r="U117" s="56"/>
      <c r="V117" s="56">
        <f t="shared" si="28"/>
        <v>0</v>
      </c>
      <c r="W117" s="56" t="s">
        <v>121</v>
      </c>
      <c r="X117" s="56">
        <v>11</v>
      </c>
      <c r="Y117" s="56">
        <v>11</v>
      </c>
      <c r="Z117" s="56"/>
      <c r="AA117" s="56"/>
      <c r="AB117" s="56"/>
      <c r="AC117" s="56"/>
      <c r="AD117" s="56"/>
      <c r="AE117" s="56">
        <v>22</v>
      </c>
      <c r="AF117" s="56">
        <f t="shared" si="16"/>
        <v>22</v>
      </c>
      <c r="AG117" s="56">
        <f t="shared" si="17"/>
        <v>11</v>
      </c>
      <c r="AH117" s="56">
        <f t="shared" si="18"/>
        <v>11</v>
      </c>
      <c r="AI117" s="56">
        <f t="shared" si="19"/>
        <v>0</v>
      </c>
      <c r="AJ117" s="56">
        <f t="shared" si="20"/>
        <v>0</v>
      </c>
      <c r="AK117" s="56">
        <f t="shared" si="21"/>
        <v>0</v>
      </c>
      <c r="AL117" s="56">
        <f t="shared" si="22"/>
        <v>0</v>
      </c>
      <c r="AM117" s="56">
        <f t="shared" si="23"/>
        <v>0</v>
      </c>
      <c r="AN117" s="56">
        <f t="shared" si="24"/>
        <v>0</v>
      </c>
      <c r="AO117" s="58">
        <f t="shared" si="25"/>
        <v>22</v>
      </c>
      <c r="AP117" s="69"/>
      <c r="AQ117" s="101">
        <v>0</v>
      </c>
      <c r="AR117" s="31">
        <f>$AO117/2</f>
        <v>11</v>
      </c>
      <c r="AS117" s="31">
        <f>$AO117/2</f>
        <v>11</v>
      </c>
      <c r="AT117" s="31">
        <v>0</v>
      </c>
      <c r="AU117" s="31">
        <v>0</v>
      </c>
      <c r="AV117" s="39">
        <v>0</v>
      </c>
      <c r="AW117" s="31"/>
      <c r="AX117" s="31"/>
      <c r="AY117" s="31"/>
      <c r="AZ117" s="31"/>
      <c r="BA117" s="39"/>
      <c r="BB117" s="152">
        <f t="shared" si="26"/>
        <v>22</v>
      </c>
      <c r="BC117" s="43">
        <v>515918</v>
      </c>
      <c r="BD117" s="43">
        <v>171031</v>
      </c>
      <c r="BE117" t="s">
        <v>1405</v>
      </c>
      <c r="BF117"/>
      <c r="BG117" t="s">
        <v>1405</v>
      </c>
    </row>
    <row r="118" spans="1:66" ht="15" customHeight="1" x14ac:dyDescent="0.25">
      <c r="A118" s="56" t="s">
        <v>256</v>
      </c>
      <c r="B118" s="19" t="s">
        <v>20</v>
      </c>
      <c r="C118" s="56"/>
      <c r="D118" s="34">
        <v>42835</v>
      </c>
      <c r="E118" s="34">
        <v>43931</v>
      </c>
      <c r="F118" s="37">
        <v>43912</v>
      </c>
      <c r="G118" s="19"/>
      <c r="H118" s="59" t="s">
        <v>1101</v>
      </c>
      <c r="I118" s="19" t="s">
        <v>1173</v>
      </c>
      <c r="J118" s="19"/>
      <c r="K118" s="56" t="s">
        <v>257</v>
      </c>
      <c r="L118" s="57" t="s">
        <v>258</v>
      </c>
      <c r="M118" s="56" t="s">
        <v>259</v>
      </c>
      <c r="N118" s="56">
        <v>2</v>
      </c>
      <c r="O118" s="56"/>
      <c r="P118" s="56"/>
      <c r="Q118" s="56"/>
      <c r="R118" s="56"/>
      <c r="S118" s="56"/>
      <c r="T118" s="56"/>
      <c r="U118" s="56"/>
      <c r="V118" s="56">
        <f t="shared" si="28"/>
        <v>2</v>
      </c>
      <c r="W118" s="56"/>
      <c r="X118" s="56"/>
      <c r="Y118" s="56">
        <v>2</v>
      </c>
      <c r="Z118" s="56"/>
      <c r="AA118" s="56"/>
      <c r="AB118" s="56"/>
      <c r="AC118" s="56"/>
      <c r="AD118" s="56"/>
      <c r="AE118" s="56"/>
      <c r="AF118" s="56">
        <f t="shared" si="16"/>
        <v>2</v>
      </c>
      <c r="AG118" s="56">
        <f t="shared" si="17"/>
        <v>-2</v>
      </c>
      <c r="AH118" s="56">
        <f t="shared" si="18"/>
        <v>2</v>
      </c>
      <c r="AI118" s="56">
        <f t="shared" si="19"/>
        <v>0</v>
      </c>
      <c r="AJ118" s="56">
        <f t="shared" si="20"/>
        <v>0</v>
      </c>
      <c r="AK118" s="56">
        <f t="shared" si="21"/>
        <v>0</v>
      </c>
      <c r="AL118" s="56">
        <f t="shared" si="22"/>
        <v>0</v>
      </c>
      <c r="AM118" s="56">
        <f t="shared" si="23"/>
        <v>0</v>
      </c>
      <c r="AN118" s="56">
        <f t="shared" si="24"/>
        <v>0</v>
      </c>
      <c r="AO118" s="58">
        <f t="shared" si="25"/>
        <v>0</v>
      </c>
      <c r="AP118" s="69"/>
      <c r="AQ118" s="40">
        <v>0</v>
      </c>
      <c r="AR118" s="40">
        <v>0</v>
      </c>
      <c r="AS118" s="31">
        <v>0</v>
      </c>
      <c r="AT118" s="31">
        <v>0</v>
      </c>
      <c r="AU118" s="31">
        <v>0</v>
      </c>
      <c r="AV118" s="39">
        <v>0</v>
      </c>
      <c r="AW118" s="31"/>
      <c r="AX118" s="31"/>
      <c r="AY118" s="31"/>
      <c r="AZ118" s="31"/>
      <c r="BA118" s="39"/>
      <c r="BB118" s="152">
        <f t="shared" si="26"/>
        <v>0</v>
      </c>
      <c r="BC118" s="43">
        <v>522192</v>
      </c>
      <c r="BD118" s="43">
        <v>177628</v>
      </c>
      <c r="BE118" t="s">
        <v>1414</v>
      </c>
      <c r="BF118" t="s">
        <v>1410</v>
      </c>
    </row>
    <row r="119" spans="1:66" ht="15" customHeight="1" x14ac:dyDescent="0.25">
      <c r="A119" s="56" t="s">
        <v>275</v>
      </c>
      <c r="B119" s="19" t="s">
        <v>20</v>
      </c>
      <c r="C119" s="56"/>
      <c r="D119" s="34">
        <v>42677</v>
      </c>
      <c r="E119" s="34">
        <v>43772</v>
      </c>
      <c r="F119" s="34">
        <v>42807</v>
      </c>
      <c r="G119" s="19"/>
      <c r="H119" s="33" t="s">
        <v>1101</v>
      </c>
      <c r="I119" s="19" t="s">
        <v>1215</v>
      </c>
      <c r="J119" s="19"/>
      <c r="K119" s="56" t="s">
        <v>276</v>
      </c>
      <c r="L119" s="57" t="s">
        <v>277</v>
      </c>
      <c r="M119" s="21" t="s">
        <v>1356</v>
      </c>
      <c r="N119" s="56"/>
      <c r="O119" s="56"/>
      <c r="P119" s="56"/>
      <c r="Q119" s="56"/>
      <c r="R119" s="56"/>
      <c r="S119" s="56"/>
      <c r="T119" s="56"/>
      <c r="U119" s="56"/>
      <c r="V119" s="56">
        <f t="shared" si="28"/>
        <v>0</v>
      </c>
      <c r="W119" s="56" t="s">
        <v>121</v>
      </c>
      <c r="X119" s="41">
        <v>3</v>
      </c>
      <c r="Y119" s="41">
        <v>11</v>
      </c>
      <c r="Z119" s="41">
        <v>5</v>
      </c>
      <c r="AA119" s="41">
        <v>3</v>
      </c>
      <c r="AB119" s="56"/>
      <c r="AC119" s="56"/>
      <c r="AD119" s="56"/>
      <c r="AE119" s="19">
        <v>22</v>
      </c>
      <c r="AF119" s="56">
        <f t="shared" si="16"/>
        <v>22</v>
      </c>
      <c r="AG119" s="56">
        <f t="shared" si="17"/>
        <v>3</v>
      </c>
      <c r="AH119" s="56">
        <f t="shared" si="18"/>
        <v>11</v>
      </c>
      <c r="AI119" s="56">
        <f t="shared" si="19"/>
        <v>5</v>
      </c>
      <c r="AJ119" s="56">
        <f t="shared" si="20"/>
        <v>3</v>
      </c>
      <c r="AK119" s="56">
        <f t="shared" si="21"/>
        <v>0</v>
      </c>
      <c r="AL119" s="56">
        <f t="shared" si="22"/>
        <v>0</v>
      </c>
      <c r="AM119" s="56">
        <f t="shared" si="23"/>
        <v>0</v>
      </c>
      <c r="AN119" s="56">
        <f t="shared" si="24"/>
        <v>0</v>
      </c>
      <c r="AO119" s="58">
        <f t="shared" si="25"/>
        <v>22</v>
      </c>
      <c r="AP119" s="69"/>
      <c r="AQ119" s="40">
        <v>0</v>
      </c>
      <c r="AR119" s="40">
        <v>0</v>
      </c>
      <c r="AS119" s="31">
        <v>0</v>
      </c>
      <c r="AT119" s="31">
        <f>$AO119/2</f>
        <v>11</v>
      </c>
      <c r="AU119" s="31">
        <f>$AO119/2</f>
        <v>11</v>
      </c>
      <c r="AV119" s="39">
        <v>0</v>
      </c>
      <c r="AW119" s="31"/>
      <c r="AX119" s="31"/>
      <c r="AY119" s="31"/>
      <c r="AZ119" s="31"/>
      <c r="BA119" s="39"/>
      <c r="BB119" s="152">
        <f t="shared" si="26"/>
        <v>22</v>
      </c>
      <c r="BC119" s="43">
        <v>515304</v>
      </c>
      <c r="BD119" s="43">
        <v>173889</v>
      </c>
      <c r="BE119" t="s">
        <v>1488</v>
      </c>
      <c r="BF119"/>
    </row>
    <row r="120" spans="1:66" ht="15" customHeight="1" x14ac:dyDescent="0.25">
      <c r="A120" s="56" t="s">
        <v>275</v>
      </c>
      <c r="B120" s="19" t="s">
        <v>20</v>
      </c>
      <c r="C120" s="56"/>
      <c r="D120" s="34">
        <v>42677</v>
      </c>
      <c r="E120" s="34">
        <v>43772</v>
      </c>
      <c r="F120" s="34">
        <v>42807</v>
      </c>
      <c r="G120" s="19"/>
      <c r="H120" s="33" t="s">
        <v>1101</v>
      </c>
      <c r="I120" s="26" t="s">
        <v>1173</v>
      </c>
      <c r="J120" s="26"/>
      <c r="K120" s="56" t="s">
        <v>276</v>
      </c>
      <c r="L120" s="57" t="s">
        <v>277</v>
      </c>
      <c r="M120" s="21" t="s">
        <v>1356</v>
      </c>
      <c r="N120" s="56"/>
      <c r="O120" s="56"/>
      <c r="P120" s="56"/>
      <c r="Q120" s="56"/>
      <c r="R120" s="56"/>
      <c r="S120" s="56"/>
      <c r="T120" s="56"/>
      <c r="U120" s="56"/>
      <c r="V120" s="56">
        <f t="shared" si="28"/>
        <v>0</v>
      </c>
      <c r="W120" s="56" t="s">
        <v>121</v>
      </c>
      <c r="X120" s="41">
        <v>38</v>
      </c>
      <c r="Y120" s="41">
        <v>59</v>
      </c>
      <c r="Z120" s="41">
        <v>31</v>
      </c>
      <c r="AA120" s="41">
        <v>18</v>
      </c>
      <c r="AB120" s="56"/>
      <c r="AC120" s="56"/>
      <c r="AD120" s="56"/>
      <c r="AE120" s="19"/>
      <c r="AF120" s="56">
        <f t="shared" si="16"/>
        <v>146</v>
      </c>
      <c r="AG120" s="56">
        <f t="shared" si="17"/>
        <v>38</v>
      </c>
      <c r="AH120" s="56">
        <f t="shared" si="18"/>
        <v>59</v>
      </c>
      <c r="AI120" s="56">
        <f t="shared" si="19"/>
        <v>31</v>
      </c>
      <c r="AJ120" s="56">
        <f t="shared" si="20"/>
        <v>18</v>
      </c>
      <c r="AK120" s="56">
        <f t="shared" si="21"/>
        <v>0</v>
      </c>
      <c r="AL120" s="56">
        <f t="shared" si="22"/>
        <v>0</v>
      </c>
      <c r="AM120" s="56">
        <f t="shared" si="23"/>
        <v>0</v>
      </c>
      <c r="AN120" s="56">
        <f t="shared" si="24"/>
        <v>0</v>
      </c>
      <c r="AO120" s="58">
        <f t="shared" si="25"/>
        <v>146</v>
      </c>
      <c r="AP120" s="69"/>
      <c r="AQ120" s="40">
        <v>0</v>
      </c>
      <c r="AR120" s="40">
        <v>0</v>
      </c>
      <c r="AS120" s="31">
        <v>0</v>
      </c>
      <c r="AT120" s="31">
        <f>$AO120/3</f>
        <v>48.666666666666664</v>
      </c>
      <c r="AU120" s="31">
        <f>$AO120/3</f>
        <v>48.666666666666664</v>
      </c>
      <c r="AV120" s="39">
        <f>$AO120/3</f>
        <v>48.666666666666664</v>
      </c>
      <c r="AW120" s="31"/>
      <c r="AX120" s="31"/>
      <c r="AY120" s="31"/>
      <c r="AZ120" s="31"/>
      <c r="BA120" s="39"/>
      <c r="BB120" s="152">
        <f t="shared" si="26"/>
        <v>146</v>
      </c>
      <c r="BC120" s="43">
        <v>515304</v>
      </c>
      <c r="BD120" s="43">
        <v>173889</v>
      </c>
      <c r="BE120" t="s">
        <v>1488</v>
      </c>
      <c r="BF120"/>
    </row>
    <row r="121" spans="1:66" ht="15" customHeight="1" x14ac:dyDescent="0.25">
      <c r="A121" s="56" t="s">
        <v>275</v>
      </c>
      <c r="B121" s="19" t="s">
        <v>20</v>
      </c>
      <c r="C121" s="56"/>
      <c r="D121" s="34">
        <v>42677</v>
      </c>
      <c r="E121" s="34">
        <v>43772</v>
      </c>
      <c r="F121" s="34">
        <v>42807</v>
      </c>
      <c r="G121" s="19"/>
      <c r="H121" s="33" t="s">
        <v>1101</v>
      </c>
      <c r="I121" s="27" t="s">
        <v>1174</v>
      </c>
      <c r="J121" s="27"/>
      <c r="K121" s="56" t="s">
        <v>276</v>
      </c>
      <c r="L121" s="57" t="s">
        <v>277</v>
      </c>
      <c r="M121" s="21" t="s">
        <v>1356</v>
      </c>
      <c r="N121" s="56"/>
      <c r="O121" s="56"/>
      <c r="P121" s="56"/>
      <c r="Q121" s="56"/>
      <c r="R121" s="56"/>
      <c r="S121" s="56"/>
      <c r="T121" s="56"/>
      <c r="U121" s="56"/>
      <c r="V121" s="56">
        <f t="shared" si="28"/>
        <v>0</v>
      </c>
      <c r="W121" s="56" t="s">
        <v>121</v>
      </c>
      <c r="X121" s="41">
        <v>4</v>
      </c>
      <c r="Y121" s="41">
        <v>1</v>
      </c>
      <c r="Z121" s="41"/>
      <c r="AA121" s="41"/>
      <c r="AB121" s="56"/>
      <c r="AC121" s="56"/>
      <c r="AD121" s="56"/>
      <c r="AE121" s="19">
        <v>5</v>
      </c>
      <c r="AF121" s="56">
        <f t="shared" si="16"/>
        <v>5</v>
      </c>
      <c r="AG121" s="56">
        <f t="shared" si="17"/>
        <v>4</v>
      </c>
      <c r="AH121" s="56">
        <f t="shared" si="18"/>
        <v>1</v>
      </c>
      <c r="AI121" s="56">
        <f t="shared" si="19"/>
        <v>0</v>
      </c>
      <c r="AJ121" s="56">
        <f t="shared" si="20"/>
        <v>0</v>
      </c>
      <c r="AK121" s="56">
        <f t="shared" si="21"/>
        <v>0</v>
      </c>
      <c r="AL121" s="56">
        <f t="shared" si="22"/>
        <v>0</v>
      </c>
      <c r="AM121" s="56">
        <f t="shared" si="23"/>
        <v>0</v>
      </c>
      <c r="AN121" s="56">
        <f t="shared" si="24"/>
        <v>0</v>
      </c>
      <c r="AO121" s="58">
        <f t="shared" si="25"/>
        <v>5</v>
      </c>
      <c r="AP121" s="69"/>
      <c r="AQ121" s="40">
        <v>0</v>
      </c>
      <c r="AR121" s="40">
        <v>0</v>
      </c>
      <c r="AS121" s="31">
        <v>0</v>
      </c>
      <c r="AT121" s="31">
        <f>$AO121/2</f>
        <v>2.5</v>
      </c>
      <c r="AU121" s="31">
        <f>$AO121/2</f>
        <v>2.5</v>
      </c>
      <c r="AV121" s="39">
        <v>0</v>
      </c>
      <c r="AW121" s="31"/>
      <c r="AX121" s="31"/>
      <c r="AY121" s="31"/>
      <c r="AZ121" s="31"/>
      <c r="BA121" s="39"/>
      <c r="BB121" s="152">
        <f t="shared" si="26"/>
        <v>5</v>
      </c>
      <c r="BC121" s="43">
        <v>515304</v>
      </c>
      <c r="BD121" s="43">
        <v>173889</v>
      </c>
      <c r="BE121" t="s">
        <v>1488</v>
      </c>
      <c r="BF121"/>
    </row>
    <row r="122" spans="1:66" s="150" customFormat="1" ht="15" customHeight="1" x14ac:dyDescent="0.25">
      <c r="A122" s="56" t="s">
        <v>278</v>
      </c>
      <c r="B122" s="19" t="s">
        <v>20</v>
      </c>
      <c r="C122" s="56"/>
      <c r="D122" s="34">
        <v>43024</v>
      </c>
      <c r="E122" s="34">
        <v>44120</v>
      </c>
      <c r="F122" s="34">
        <v>43346</v>
      </c>
      <c r="G122" s="37">
        <v>44083</v>
      </c>
      <c r="H122" s="33" t="s">
        <v>1101</v>
      </c>
      <c r="I122" s="19" t="s">
        <v>1173</v>
      </c>
      <c r="J122" s="19"/>
      <c r="K122" s="56" t="s">
        <v>279</v>
      </c>
      <c r="L122" s="57" t="s">
        <v>280</v>
      </c>
      <c r="M122" s="56" t="s">
        <v>68</v>
      </c>
      <c r="N122" s="56"/>
      <c r="O122" s="56"/>
      <c r="P122" s="56"/>
      <c r="Q122" s="56"/>
      <c r="R122" s="56"/>
      <c r="S122" s="56"/>
      <c r="T122" s="56"/>
      <c r="U122" s="56"/>
      <c r="V122" s="56">
        <f t="shared" si="28"/>
        <v>0</v>
      </c>
      <c r="W122" s="56"/>
      <c r="X122" s="56">
        <v>8</v>
      </c>
      <c r="Y122" s="56">
        <v>1</v>
      </c>
      <c r="Z122" s="56"/>
      <c r="AA122" s="56"/>
      <c r="AB122" s="56"/>
      <c r="AC122" s="56"/>
      <c r="AD122" s="56"/>
      <c r="AE122" s="56"/>
      <c r="AF122" s="56">
        <f t="shared" si="16"/>
        <v>9</v>
      </c>
      <c r="AG122" s="56">
        <f t="shared" si="17"/>
        <v>8</v>
      </c>
      <c r="AH122" s="56">
        <f t="shared" si="18"/>
        <v>1</v>
      </c>
      <c r="AI122" s="56">
        <f t="shared" si="19"/>
        <v>0</v>
      </c>
      <c r="AJ122" s="56">
        <f t="shared" si="20"/>
        <v>0</v>
      </c>
      <c r="AK122" s="56">
        <f t="shared" si="21"/>
        <v>0</v>
      </c>
      <c r="AL122" s="56">
        <f t="shared" si="22"/>
        <v>0</v>
      </c>
      <c r="AM122" s="56">
        <f t="shared" si="23"/>
        <v>0</v>
      </c>
      <c r="AN122" s="56">
        <f t="shared" si="24"/>
        <v>0</v>
      </c>
      <c r="AO122" s="58">
        <f t="shared" si="25"/>
        <v>9</v>
      </c>
      <c r="AP122" s="248"/>
      <c r="AQ122" s="40">
        <v>0</v>
      </c>
      <c r="AR122" s="40">
        <v>9</v>
      </c>
      <c r="AS122" s="31">
        <v>0</v>
      </c>
      <c r="AT122" s="31">
        <v>0</v>
      </c>
      <c r="AU122" s="31">
        <v>0</v>
      </c>
      <c r="AV122" s="39">
        <v>0</v>
      </c>
      <c r="AW122" s="31"/>
      <c r="AX122" s="31"/>
      <c r="AY122" s="31"/>
      <c r="AZ122" s="31"/>
      <c r="BA122" s="39"/>
      <c r="BB122" s="152">
        <f t="shared" si="26"/>
        <v>9</v>
      </c>
      <c r="BC122" s="43">
        <v>515669</v>
      </c>
      <c r="BD122" s="43">
        <v>173102</v>
      </c>
      <c r="BE122" s="150" t="s">
        <v>1424</v>
      </c>
      <c r="BG122" s="150" t="s">
        <v>1406</v>
      </c>
    </row>
    <row r="123" spans="1:66" ht="15" customHeight="1" x14ac:dyDescent="0.25">
      <c r="A123" s="56" t="s">
        <v>284</v>
      </c>
      <c r="B123" s="19" t="s">
        <v>20</v>
      </c>
      <c r="C123" s="56"/>
      <c r="D123" s="34">
        <v>43384</v>
      </c>
      <c r="E123" s="34">
        <v>44480</v>
      </c>
      <c r="F123" s="34">
        <v>43752</v>
      </c>
      <c r="G123" s="37"/>
      <c r="H123" s="59" t="s">
        <v>1101</v>
      </c>
      <c r="I123" s="25" t="s">
        <v>1215</v>
      </c>
      <c r="J123" s="25"/>
      <c r="K123" s="56" t="s">
        <v>285</v>
      </c>
      <c r="L123" s="57" t="s">
        <v>286</v>
      </c>
      <c r="M123" s="56" t="s">
        <v>287</v>
      </c>
      <c r="N123" s="41">
        <v>0</v>
      </c>
      <c r="O123" s="41">
        <v>0</v>
      </c>
      <c r="P123" s="41">
        <v>0</v>
      </c>
      <c r="Q123" s="41">
        <v>0</v>
      </c>
      <c r="R123" s="56"/>
      <c r="S123" s="56"/>
      <c r="T123" s="56"/>
      <c r="U123" s="56"/>
      <c r="V123" s="56">
        <f t="shared" si="28"/>
        <v>0</v>
      </c>
      <c r="W123" s="56" t="s">
        <v>121</v>
      </c>
      <c r="X123" s="41">
        <v>19</v>
      </c>
      <c r="Y123" s="56"/>
      <c r="Z123" s="56"/>
      <c r="AA123" s="56"/>
      <c r="AB123" s="56"/>
      <c r="AC123" s="56"/>
      <c r="AD123" s="56"/>
      <c r="AE123" s="56"/>
      <c r="AF123" s="56">
        <f t="shared" si="16"/>
        <v>19</v>
      </c>
      <c r="AG123" s="56">
        <f t="shared" si="17"/>
        <v>19</v>
      </c>
      <c r="AH123" s="56">
        <f t="shared" si="18"/>
        <v>0</v>
      </c>
      <c r="AI123" s="56">
        <f t="shared" si="19"/>
        <v>0</v>
      </c>
      <c r="AJ123" s="56">
        <f t="shared" si="20"/>
        <v>0</v>
      </c>
      <c r="AK123" s="56">
        <f t="shared" si="21"/>
        <v>0</v>
      </c>
      <c r="AL123" s="56">
        <f t="shared" si="22"/>
        <v>0</v>
      </c>
      <c r="AM123" s="56">
        <f t="shared" si="23"/>
        <v>0</v>
      </c>
      <c r="AN123" s="56">
        <f t="shared" si="24"/>
        <v>0</v>
      </c>
      <c r="AO123" s="58">
        <f t="shared" si="25"/>
        <v>19</v>
      </c>
      <c r="AP123" s="69"/>
      <c r="AQ123" s="40">
        <v>0</v>
      </c>
      <c r="AR123" s="40">
        <f>AO123</f>
        <v>19</v>
      </c>
      <c r="AS123" s="31">
        <v>0</v>
      </c>
      <c r="AT123" s="31">
        <v>0</v>
      </c>
      <c r="AU123" s="31">
        <v>0</v>
      </c>
      <c r="AV123" s="39">
        <v>0</v>
      </c>
      <c r="AW123" s="31"/>
      <c r="AX123" s="31"/>
      <c r="AY123" s="31"/>
      <c r="AZ123" s="31"/>
      <c r="BA123" s="39"/>
      <c r="BB123" s="152">
        <f t="shared" si="26"/>
        <v>19</v>
      </c>
      <c r="BC123" s="43">
        <v>513257</v>
      </c>
      <c r="BD123" s="43">
        <v>174057</v>
      </c>
      <c r="BE123" t="s">
        <v>1428</v>
      </c>
      <c r="BF123"/>
    </row>
    <row r="124" spans="1:66" ht="15" customHeight="1" x14ac:dyDescent="0.25">
      <c r="A124" s="56" t="s">
        <v>284</v>
      </c>
      <c r="B124" s="19" t="s">
        <v>20</v>
      </c>
      <c r="C124" s="56"/>
      <c r="D124" s="34">
        <v>43384</v>
      </c>
      <c r="E124" s="34">
        <v>44480</v>
      </c>
      <c r="F124" s="34">
        <v>43752</v>
      </c>
      <c r="G124" s="37"/>
      <c r="H124" s="59" t="s">
        <v>1101</v>
      </c>
      <c r="I124" s="27" t="s">
        <v>1174</v>
      </c>
      <c r="J124" s="27"/>
      <c r="K124" s="56" t="s">
        <v>285</v>
      </c>
      <c r="L124" s="57" t="s">
        <v>286</v>
      </c>
      <c r="M124" s="56" t="s">
        <v>287</v>
      </c>
      <c r="N124" s="41">
        <v>0</v>
      </c>
      <c r="O124" s="41">
        <v>0</v>
      </c>
      <c r="P124" s="41">
        <v>0</v>
      </c>
      <c r="Q124" s="41">
        <v>0</v>
      </c>
      <c r="R124" s="56"/>
      <c r="S124" s="56"/>
      <c r="T124" s="56"/>
      <c r="U124" s="56"/>
      <c r="V124" s="56">
        <f t="shared" si="28"/>
        <v>0</v>
      </c>
      <c r="W124" s="56" t="s">
        <v>121</v>
      </c>
      <c r="X124" s="41">
        <v>5</v>
      </c>
      <c r="Y124" s="56"/>
      <c r="Z124" s="56"/>
      <c r="AA124" s="56"/>
      <c r="AB124" s="56"/>
      <c r="AC124" s="56"/>
      <c r="AD124" s="56"/>
      <c r="AE124" s="56"/>
      <c r="AF124" s="56">
        <f t="shared" si="16"/>
        <v>5</v>
      </c>
      <c r="AG124" s="56">
        <f t="shared" si="17"/>
        <v>5</v>
      </c>
      <c r="AH124" s="56">
        <f t="shared" si="18"/>
        <v>0</v>
      </c>
      <c r="AI124" s="56">
        <f t="shared" si="19"/>
        <v>0</v>
      </c>
      <c r="AJ124" s="56">
        <f t="shared" si="20"/>
        <v>0</v>
      </c>
      <c r="AK124" s="56">
        <f t="shared" si="21"/>
        <v>0</v>
      </c>
      <c r="AL124" s="56">
        <f t="shared" si="22"/>
        <v>0</v>
      </c>
      <c r="AM124" s="56">
        <f t="shared" si="23"/>
        <v>0</v>
      </c>
      <c r="AN124" s="56">
        <f t="shared" si="24"/>
        <v>0</v>
      </c>
      <c r="AO124" s="58">
        <f t="shared" si="25"/>
        <v>5</v>
      </c>
      <c r="AP124" s="69"/>
      <c r="AQ124" s="40">
        <v>0</v>
      </c>
      <c r="AR124" s="40">
        <f>AO124</f>
        <v>5</v>
      </c>
      <c r="AS124" s="31">
        <v>0</v>
      </c>
      <c r="AT124" s="31">
        <v>0</v>
      </c>
      <c r="AU124" s="31">
        <v>0</v>
      </c>
      <c r="AV124" s="39">
        <v>0</v>
      </c>
      <c r="AW124" s="31"/>
      <c r="AX124" s="31"/>
      <c r="AY124" s="31"/>
      <c r="AZ124" s="31"/>
      <c r="BA124" s="39"/>
      <c r="BB124" s="152">
        <f t="shared" si="26"/>
        <v>5</v>
      </c>
      <c r="BC124" s="43">
        <v>513257</v>
      </c>
      <c r="BD124" s="43">
        <v>174057</v>
      </c>
      <c r="BE124" t="s">
        <v>1428</v>
      </c>
      <c r="BF124"/>
    </row>
    <row r="125" spans="1:66" ht="15" customHeight="1" x14ac:dyDescent="0.25">
      <c r="A125" s="56" t="s">
        <v>284</v>
      </c>
      <c r="B125" s="19" t="s">
        <v>20</v>
      </c>
      <c r="C125" s="56"/>
      <c r="D125" s="34">
        <v>43384</v>
      </c>
      <c r="E125" s="34">
        <v>44480</v>
      </c>
      <c r="F125" s="34">
        <v>43752</v>
      </c>
      <c r="G125" s="37"/>
      <c r="H125" s="59" t="s">
        <v>1101</v>
      </c>
      <c r="I125" s="25" t="s">
        <v>1235</v>
      </c>
      <c r="J125" s="25"/>
      <c r="K125" s="56" t="s">
        <v>285</v>
      </c>
      <c r="L125" s="57" t="s">
        <v>286</v>
      </c>
      <c r="M125" s="56" t="s">
        <v>287</v>
      </c>
      <c r="N125" s="41">
        <v>29</v>
      </c>
      <c r="O125" s="41">
        <v>1</v>
      </c>
      <c r="P125" s="41">
        <v>0</v>
      </c>
      <c r="Q125" s="41">
        <v>0</v>
      </c>
      <c r="R125" s="56"/>
      <c r="S125" s="56"/>
      <c r="T125" s="56"/>
      <c r="U125" s="56"/>
      <c r="V125" s="56">
        <f t="shared" si="28"/>
        <v>30</v>
      </c>
      <c r="W125" s="56" t="s">
        <v>121</v>
      </c>
      <c r="X125" s="41">
        <v>0</v>
      </c>
      <c r="Y125" s="56"/>
      <c r="Z125" s="56"/>
      <c r="AA125" s="56"/>
      <c r="AB125" s="56"/>
      <c r="AC125" s="56"/>
      <c r="AD125" s="56"/>
      <c r="AE125" s="56"/>
      <c r="AF125" s="56">
        <f t="shared" si="16"/>
        <v>0</v>
      </c>
      <c r="AG125" s="56">
        <f t="shared" si="17"/>
        <v>-29</v>
      </c>
      <c r="AH125" s="56">
        <f t="shared" si="18"/>
        <v>-1</v>
      </c>
      <c r="AI125" s="56">
        <f t="shared" si="19"/>
        <v>0</v>
      </c>
      <c r="AJ125" s="56">
        <f t="shared" si="20"/>
        <v>0</v>
      </c>
      <c r="AK125" s="56">
        <f t="shared" si="21"/>
        <v>0</v>
      </c>
      <c r="AL125" s="56">
        <f t="shared" si="22"/>
        <v>0</v>
      </c>
      <c r="AM125" s="56">
        <f t="shared" si="23"/>
        <v>0</v>
      </c>
      <c r="AN125" s="56">
        <f t="shared" si="24"/>
        <v>0</v>
      </c>
      <c r="AO125" s="58">
        <f t="shared" si="25"/>
        <v>-30</v>
      </c>
      <c r="AP125" s="69"/>
      <c r="AQ125" s="40">
        <v>0</v>
      </c>
      <c r="AR125" s="40">
        <f>AO125</f>
        <v>-30</v>
      </c>
      <c r="AS125" s="31">
        <v>0</v>
      </c>
      <c r="AT125" s="31">
        <v>0</v>
      </c>
      <c r="AU125" s="31">
        <v>0</v>
      </c>
      <c r="AV125" s="39">
        <v>0</v>
      </c>
      <c r="AW125" s="31"/>
      <c r="AX125" s="31"/>
      <c r="AY125" s="31"/>
      <c r="AZ125" s="31"/>
      <c r="BA125" s="39"/>
      <c r="BB125" s="152">
        <f t="shared" si="26"/>
        <v>-30</v>
      </c>
      <c r="BC125" s="43">
        <v>513257</v>
      </c>
      <c r="BD125" s="43">
        <v>174057</v>
      </c>
      <c r="BE125" t="s">
        <v>1428</v>
      </c>
      <c r="BF125"/>
    </row>
    <row r="126" spans="1:66" ht="15" customHeight="1" x14ac:dyDescent="0.25">
      <c r="A126" s="56" t="s">
        <v>288</v>
      </c>
      <c r="B126" s="19" t="s">
        <v>48</v>
      </c>
      <c r="C126" s="56"/>
      <c r="D126" s="34">
        <v>43214</v>
      </c>
      <c r="E126" s="34">
        <v>44310</v>
      </c>
      <c r="F126" s="34">
        <v>43215</v>
      </c>
      <c r="G126" s="19"/>
      <c r="H126" s="59" t="s">
        <v>1101</v>
      </c>
      <c r="I126" s="19" t="s">
        <v>1173</v>
      </c>
      <c r="J126" s="19"/>
      <c r="K126" s="56" t="s">
        <v>289</v>
      </c>
      <c r="L126" s="57" t="s">
        <v>1311</v>
      </c>
      <c r="M126" s="56" t="s">
        <v>290</v>
      </c>
      <c r="N126" s="56"/>
      <c r="O126" s="56"/>
      <c r="P126" s="56"/>
      <c r="Q126" s="56"/>
      <c r="R126" s="56"/>
      <c r="S126" s="56"/>
      <c r="T126" s="56"/>
      <c r="U126" s="56"/>
      <c r="V126" s="56">
        <f t="shared" si="28"/>
        <v>0</v>
      </c>
      <c r="W126" s="56"/>
      <c r="X126" s="19">
        <v>1</v>
      </c>
      <c r="Y126" s="19">
        <v>9</v>
      </c>
      <c r="Z126" s="19">
        <v>1</v>
      </c>
      <c r="AA126" s="19">
        <v>1</v>
      </c>
      <c r="AB126" s="19"/>
      <c r="AC126" s="19"/>
      <c r="AD126" s="19"/>
      <c r="AE126" s="19"/>
      <c r="AF126" s="56">
        <f t="shared" si="16"/>
        <v>12</v>
      </c>
      <c r="AG126" s="56">
        <f t="shared" si="17"/>
        <v>1</v>
      </c>
      <c r="AH126" s="56">
        <f t="shared" si="18"/>
        <v>9</v>
      </c>
      <c r="AI126" s="56">
        <f t="shared" si="19"/>
        <v>1</v>
      </c>
      <c r="AJ126" s="56">
        <f t="shared" si="20"/>
        <v>1</v>
      </c>
      <c r="AK126" s="56">
        <f t="shared" si="21"/>
        <v>0</v>
      </c>
      <c r="AL126" s="56">
        <f t="shared" si="22"/>
        <v>0</v>
      </c>
      <c r="AM126" s="56">
        <f t="shared" si="23"/>
        <v>0</v>
      </c>
      <c r="AN126" s="56">
        <f t="shared" si="24"/>
        <v>0</v>
      </c>
      <c r="AO126" s="58">
        <f t="shared" si="25"/>
        <v>12</v>
      </c>
      <c r="AP126" s="69"/>
      <c r="AQ126" s="40">
        <v>0</v>
      </c>
      <c r="AR126" s="40">
        <v>12</v>
      </c>
      <c r="AS126" s="31">
        <v>0</v>
      </c>
      <c r="AT126" s="31">
        <v>0</v>
      </c>
      <c r="AU126" s="31">
        <v>0</v>
      </c>
      <c r="AV126" s="39">
        <v>0</v>
      </c>
      <c r="AW126" s="31"/>
      <c r="AX126" s="31"/>
      <c r="AY126" s="31"/>
      <c r="AZ126" s="31"/>
      <c r="BA126" s="39"/>
      <c r="BB126" s="152">
        <f t="shared" si="26"/>
        <v>12</v>
      </c>
      <c r="BC126" s="43">
        <v>517752</v>
      </c>
      <c r="BD126" s="43">
        <v>172177</v>
      </c>
      <c r="BE126" t="s">
        <v>1487</v>
      </c>
      <c r="BF126"/>
      <c r="BM126" t="s">
        <v>1545</v>
      </c>
      <c r="BN126" t="s">
        <v>1507</v>
      </c>
    </row>
    <row r="127" spans="1:66" ht="15" customHeight="1" x14ac:dyDescent="0.25">
      <c r="A127" s="56" t="s">
        <v>291</v>
      </c>
      <c r="B127" s="19" t="s">
        <v>20</v>
      </c>
      <c r="C127" s="56"/>
      <c r="D127" s="34">
        <v>43069</v>
      </c>
      <c r="E127" s="34">
        <v>44165</v>
      </c>
      <c r="F127" s="34">
        <v>43344</v>
      </c>
      <c r="G127" s="19"/>
      <c r="H127" s="36" t="s">
        <v>1101</v>
      </c>
      <c r="I127" s="19" t="s">
        <v>1173</v>
      </c>
      <c r="J127" s="19"/>
      <c r="K127" s="56" t="s">
        <v>292</v>
      </c>
      <c r="L127" s="57" t="s">
        <v>293</v>
      </c>
      <c r="M127" s="56" t="s">
        <v>294</v>
      </c>
      <c r="N127" s="56"/>
      <c r="O127" s="56"/>
      <c r="P127" s="56"/>
      <c r="Q127" s="56"/>
      <c r="R127" s="56"/>
      <c r="S127" s="56"/>
      <c r="T127" s="56"/>
      <c r="U127" s="56"/>
      <c r="V127" s="56">
        <f t="shared" si="28"/>
        <v>0</v>
      </c>
      <c r="W127" s="56"/>
      <c r="X127" s="56"/>
      <c r="Y127" s="56">
        <v>1</v>
      </c>
      <c r="Z127" s="56"/>
      <c r="AA127" s="56"/>
      <c r="AB127" s="56"/>
      <c r="AC127" s="56"/>
      <c r="AD127" s="56"/>
      <c r="AE127" s="56"/>
      <c r="AF127" s="56">
        <f t="shared" si="16"/>
        <v>1</v>
      </c>
      <c r="AG127" s="56">
        <f t="shared" si="17"/>
        <v>0</v>
      </c>
      <c r="AH127" s="56">
        <f t="shared" si="18"/>
        <v>1</v>
      </c>
      <c r="AI127" s="56">
        <f t="shared" si="19"/>
        <v>0</v>
      </c>
      <c r="AJ127" s="56">
        <f t="shared" si="20"/>
        <v>0</v>
      </c>
      <c r="AK127" s="56">
        <f t="shared" si="21"/>
        <v>0</v>
      </c>
      <c r="AL127" s="56">
        <f t="shared" si="22"/>
        <v>0</v>
      </c>
      <c r="AM127" s="56">
        <f t="shared" si="23"/>
        <v>0</v>
      </c>
      <c r="AN127" s="56">
        <f t="shared" si="24"/>
        <v>0</v>
      </c>
      <c r="AO127" s="58">
        <f t="shared" si="25"/>
        <v>1</v>
      </c>
      <c r="AP127" s="69"/>
      <c r="AQ127" s="40">
        <v>0</v>
      </c>
      <c r="AR127" s="40">
        <f t="shared" ref="AR127:AR132" si="30">AO127</f>
        <v>1</v>
      </c>
      <c r="AS127" s="31">
        <v>0</v>
      </c>
      <c r="AT127" s="31">
        <v>0</v>
      </c>
      <c r="AU127" s="31">
        <v>0</v>
      </c>
      <c r="AV127" s="39">
        <v>0</v>
      </c>
      <c r="AW127" s="31"/>
      <c r="AX127" s="31"/>
      <c r="AY127" s="31"/>
      <c r="AZ127" s="31"/>
      <c r="BA127" s="39"/>
      <c r="BB127" s="152">
        <f t="shared" si="26"/>
        <v>1</v>
      </c>
      <c r="BC127" s="43">
        <v>516115</v>
      </c>
      <c r="BD127" s="43">
        <v>173199</v>
      </c>
      <c r="BE127" t="s">
        <v>1426</v>
      </c>
      <c r="BF127"/>
      <c r="BG127" t="s">
        <v>1406</v>
      </c>
    </row>
    <row r="128" spans="1:66" ht="15" customHeight="1" x14ac:dyDescent="0.25">
      <c r="A128" s="56" t="s">
        <v>299</v>
      </c>
      <c r="B128" s="19" t="s">
        <v>20</v>
      </c>
      <c r="C128" s="56"/>
      <c r="D128" s="34">
        <v>42786</v>
      </c>
      <c r="E128" s="34">
        <v>44053</v>
      </c>
      <c r="F128" s="34">
        <v>43479</v>
      </c>
      <c r="G128" s="19"/>
      <c r="H128" s="36" t="s">
        <v>1101</v>
      </c>
      <c r="I128" s="19" t="s">
        <v>1173</v>
      </c>
      <c r="J128" s="19"/>
      <c r="K128" s="56" t="s">
        <v>300</v>
      </c>
      <c r="L128" s="57" t="s">
        <v>301</v>
      </c>
      <c r="M128" s="56" t="s">
        <v>302</v>
      </c>
      <c r="N128" s="56"/>
      <c r="O128" s="56"/>
      <c r="P128" s="56"/>
      <c r="Q128" s="56"/>
      <c r="R128" s="56"/>
      <c r="S128" s="56"/>
      <c r="T128" s="56"/>
      <c r="U128" s="56"/>
      <c r="V128" s="56">
        <f t="shared" si="28"/>
        <v>0</v>
      </c>
      <c r="W128" s="56"/>
      <c r="X128" s="56"/>
      <c r="Y128" s="56">
        <v>1</v>
      </c>
      <c r="Z128" s="56"/>
      <c r="AA128" s="56"/>
      <c r="AB128" s="56"/>
      <c r="AC128" s="56"/>
      <c r="AD128" s="56"/>
      <c r="AE128" s="56"/>
      <c r="AF128" s="56">
        <f t="shared" si="16"/>
        <v>1</v>
      </c>
      <c r="AG128" s="56">
        <f t="shared" si="17"/>
        <v>0</v>
      </c>
      <c r="AH128" s="56">
        <f t="shared" si="18"/>
        <v>1</v>
      </c>
      <c r="AI128" s="56">
        <f t="shared" si="19"/>
        <v>0</v>
      </c>
      <c r="AJ128" s="56">
        <f t="shared" si="20"/>
        <v>0</v>
      </c>
      <c r="AK128" s="56">
        <f t="shared" si="21"/>
        <v>0</v>
      </c>
      <c r="AL128" s="56">
        <f t="shared" si="22"/>
        <v>0</v>
      </c>
      <c r="AM128" s="56">
        <f t="shared" si="23"/>
        <v>0</v>
      </c>
      <c r="AN128" s="56">
        <f t="shared" si="24"/>
        <v>0</v>
      </c>
      <c r="AO128" s="58">
        <f t="shared" si="25"/>
        <v>1</v>
      </c>
      <c r="AP128" s="69"/>
      <c r="AQ128" s="40">
        <v>0</v>
      </c>
      <c r="AR128" s="40">
        <f t="shared" si="30"/>
        <v>1</v>
      </c>
      <c r="AS128" s="31">
        <v>0</v>
      </c>
      <c r="AT128" s="31">
        <v>0</v>
      </c>
      <c r="AU128" s="31">
        <v>0</v>
      </c>
      <c r="AV128" s="39">
        <v>0</v>
      </c>
      <c r="AW128" s="31"/>
      <c r="AX128" s="31"/>
      <c r="AY128" s="31"/>
      <c r="AZ128" s="31"/>
      <c r="BA128" s="39"/>
      <c r="BB128" s="152">
        <f t="shared" si="26"/>
        <v>1</v>
      </c>
      <c r="BC128" s="43">
        <v>521729</v>
      </c>
      <c r="BD128" s="43">
        <v>176400</v>
      </c>
      <c r="BE128" t="s">
        <v>1459</v>
      </c>
      <c r="BF128"/>
      <c r="BI128" t="s">
        <v>1551</v>
      </c>
      <c r="BJ128" t="s">
        <v>1503</v>
      </c>
      <c r="BM128" t="s">
        <v>1545</v>
      </c>
      <c r="BN128" t="s">
        <v>1525</v>
      </c>
    </row>
    <row r="129" spans="1:66" ht="15" customHeight="1" x14ac:dyDescent="0.25">
      <c r="A129" s="56" t="s">
        <v>303</v>
      </c>
      <c r="B129" s="19" t="s">
        <v>38</v>
      </c>
      <c r="C129" s="56"/>
      <c r="D129" s="34">
        <v>43073</v>
      </c>
      <c r="E129" s="34">
        <v>44226</v>
      </c>
      <c r="F129" s="37">
        <v>43525</v>
      </c>
      <c r="G129" s="19"/>
      <c r="H129" s="36" t="s">
        <v>1101</v>
      </c>
      <c r="I129" s="19" t="s">
        <v>1173</v>
      </c>
      <c r="J129" s="19"/>
      <c r="K129" s="56" t="s">
        <v>304</v>
      </c>
      <c r="L129" s="57" t="s">
        <v>305</v>
      </c>
      <c r="M129" s="56" t="s">
        <v>306</v>
      </c>
      <c r="N129" s="56"/>
      <c r="O129" s="56"/>
      <c r="P129" s="56"/>
      <c r="Q129" s="56"/>
      <c r="R129" s="56">
        <v>1</v>
      </c>
      <c r="S129" s="56"/>
      <c r="T129" s="56"/>
      <c r="U129" s="56"/>
      <c r="V129" s="56">
        <f t="shared" si="28"/>
        <v>1</v>
      </c>
      <c r="W129" s="56"/>
      <c r="X129" s="56"/>
      <c r="Y129" s="56">
        <v>1</v>
      </c>
      <c r="Z129" s="56">
        <v>1</v>
      </c>
      <c r="AA129" s="56"/>
      <c r="AB129" s="56"/>
      <c r="AC129" s="56"/>
      <c r="AD129" s="56"/>
      <c r="AE129" s="56"/>
      <c r="AF129" s="56">
        <f t="shared" si="16"/>
        <v>2</v>
      </c>
      <c r="AG129" s="56">
        <f t="shared" si="17"/>
        <v>0</v>
      </c>
      <c r="AH129" s="56">
        <f t="shared" si="18"/>
        <v>1</v>
      </c>
      <c r="AI129" s="56">
        <f t="shared" si="19"/>
        <v>1</v>
      </c>
      <c r="AJ129" s="56">
        <f t="shared" si="20"/>
        <v>0</v>
      </c>
      <c r="AK129" s="56">
        <f t="shared" si="21"/>
        <v>-1</v>
      </c>
      <c r="AL129" s="56">
        <f t="shared" si="22"/>
        <v>0</v>
      </c>
      <c r="AM129" s="56">
        <f t="shared" si="23"/>
        <v>0</v>
      </c>
      <c r="AN129" s="56">
        <f t="shared" si="24"/>
        <v>0</v>
      </c>
      <c r="AO129" s="58">
        <f t="shared" si="25"/>
        <v>1</v>
      </c>
      <c r="AP129" s="69"/>
      <c r="AQ129" s="40">
        <v>0</v>
      </c>
      <c r="AR129" s="40">
        <f t="shared" si="30"/>
        <v>1</v>
      </c>
      <c r="AS129" s="31">
        <v>0</v>
      </c>
      <c r="AT129" s="31">
        <v>0</v>
      </c>
      <c r="AU129" s="31">
        <v>0</v>
      </c>
      <c r="AV129" s="39">
        <v>0</v>
      </c>
      <c r="AW129" s="31"/>
      <c r="AX129" s="31"/>
      <c r="AY129" s="31"/>
      <c r="AZ129" s="31"/>
      <c r="BA129" s="39"/>
      <c r="BB129" s="152">
        <f t="shared" si="26"/>
        <v>1</v>
      </c>
      <c r="BC129" s="43">
        <v>516719</v>
      </c>
      <c r="BD129" s="43">
        <v>171329</v>
      </c>
      <c r="BE129" t="s">
        <v>1405</v>
      </c>
      <c r="BF129"/>
      <c r="BH129" t="s">
        <v>1404</v>
      </c>
      <c r="BM129" t="s">
        <v>1545</v>
      </c>
      <c r="BN129" t="s">
        <v>1512</v>
      </c>
    </row>
    <row r="130" spans="1:66" ht="15" customHeight="1" x14ac:dyDescent="0.25">
      <c r="A130" s="56" t="s">
        <v>314</v>
      </c>
      <c r="B130" s="19" t="s">
        <v>20</v>
      </c>
      <c r="C130" s="56"/>
      <c r="D130" s="34">
        <v>42821</v>
      </c>
      <c r="E130" s="34">
        <v>43917</v>
      </c>
      <c r="F130" s="34">
        <v>42979</v>
      </c>
      <c r="G130" s="19"/>
      <c r="H130" s="36" t="s">
        <v>1101</v>
      </c>
      <c r="I130" s="19" t="s">
        <v>1173</v>
      </c>
      <c r="J130" s="19"/>
      <c r="K130" s="56" t="s">
        <v>315</v>
      </c>
      <c r="L130" s="57" t="s">
        <v>316</v>
      </c>
      <c r="M130" s="56" t="s">
        <v>317</v>
      </c>
      <c r="N130" s="56"/>
      <c r="O130" s="56"/>
      <c r="P130" s="56">
        <v>1</v>
      </c>
      <c r="Q130" s="56"/>
      <c r="R130" s="56"/>
      <c r="S130" s="56"/>
      <c r="T130" s="56"/>
      <c r="U130" s="56"/>
      <c r="V130" s="56">
        <f t="shared" ref="V130:V137" si="31">SUM(N130:U130)</f>
        <v>1</v>
      </c>
      <c r="W130" s="56"/>
      <c r="X130" s="56"/>
      <c r="Y130" s="56"/>
      <c r="Z130" s="56"/>
      <c r="AA130" s="56">
        <v>1</v>
      </c>
      <c r="AB130" s="56"/>
      <c r="AC130" s="56"/>
      <c r="AD130" s="56"/>
      <c r="AE130" s="56">
        <v>0</v>
      </c>
      <c r="AF130" s="56">
        <f t="shared" ref="AF130:AF193" si="32">SUM(X130:AD130)</f>
        <v>1</v>
      </c>
      <c r="AG130" s="56">
        <f t="shared" ref="AG130:AG193" si="33">X130-N130</f>
        <v>0</v>
      </c>
      <c r="AH130" s="56">
        <f t="shared" ref="AH130:AH193" si="34">Y130-O130</f>
        <v>0</v>
      </c>
      <c r="AI130" s="56">
        <f t="shared" ref="AI130:AI193" si="35">Z130-P130</f>
        <v>-1</v>
      </c>
      <c r="AJ130" s="56">
        <f t="shared" ref="AJ130:AJ193" si="36">AA130-Q130</f>
        <v>1</v>
      </c>
      <c r="AK130" s="56">
        <f t="shared" ref="AK130:AK193" si="37">AB130-R130</f>
        <v>0</v>
      </c>
      <c r="AL130" s="56">
        <f t="shared" ref="AL130:AL193" si="38">AC130-S130</f>
        <v>0</v>
      </c>
      <c r="AM130" s="56">
        <f t="shared" ref="AM130:AM193" si="39">AD130-T130</f>
        <v>0</v>
      </c>
      <c r="AN130" s="56">
        <f t="shared" ref="AN130:AN193" si="40">0-U130</f>
        <v>0</v>
      </c>
      <c r="AO130" s="58">
        <f t="shared" ref="AO130:AO193" si="41">AF130-V130</f>
        <v>0</v>
      </c>
      <c r="AP130" s="69"/>
      <c r="AQ130" s="40">
        <v>0</v>
      </c>
      <c r="AR130" s="40">
        <f t="shared" si="30"/>
        <v>0</v>
      </c>
      <c r="AS130" s="31">
        <v>0</v>
      </c>
      <c r="AT130" s="31">
        <v>0</v>
      </c>
      <c r="AU130" s="31">
        <v>0</v>
      </c>
      <c r="AV130" s="39">
        <v>0</v>
      </c>
      <c r="AW130" s="31"/>
      <c r="AX130" s="31"/>
      <c r="AY130" s="31"/>
      <c r="AZ130" s="31"/>
      <c r="BA130" s="39"/>
      <c r="BB130" s="152">
        <f t="shared" ref="BB130:BB193" si="42">SUM(AR130:BA130)</f>
        <v>0</v>
      </c>
      <c r="BC130" s="43">
        <v>514468</v>
      </c>
      <c r="BD130" s="43">
        <v>172144</v>
      </c>
      <c r="BE130" t="s">
        <v>1427</v>
      </c>
      <c r="BF130"/>
    </row>
    <row r="131" spans="1:66" ht="15" customHeight="1" x14ac:dyDescent="0.25">
      <c r="A131" s="56" t="s">
        <v>326</v>
      </c>
      <c r="B131" s="19" t="s">
        <v>20</v>
      </c>
      <c r="C131" s="56"/>
      <c r="D131" s="34">
        <v>42801</v>
      </c>
      <c r="E131" s="34">
        <v>43897</v>
      </c>
      <c r="F131" s="37">
        <v>43891</v>
      </c>
      <c r="G131" s="19"/>
      <c r="H131" s="59" t="s">
        <v>1101</v>
      </c>
      <c r="I131" s="19" t="s">
        <v>1173</v>
      </c>
      <c r="J131" s="19"/>
      <c r="K131" s="56" t="s">
        <v>327</v>
      </c>
      <c r="L131" s="57" t="s">
        <v>328</v>
      </c>
      <c r="M131" s="56"/>
      <c r="N131" s="56"/>
      <c r="O131" s="56"/>
      <c r="P131" s="56"/>
      <c r="Q131" s="56"/>
      <c r="R131" s="56"/>
      <c r="S131" s="56"/>
      <c r="T131" s="56"/>
      <c r="U131" s="56"/>
      <c r="V131" s="56">
        <f t="shared" si="31"/>
        <v>0</v>
      </c>
      <c r="W131" s="56"/>
      <c r="X131" s="56"/>
      <c r="Y131" s="56"/>
      <c r="Z131" s="56">
        <v>1</v>
      </c>
      <c r="AA131" s="56"/>
      <c r="AB131" s="56"/>
      <c r="AC131" s="56"/>
      <c r="AD131" s="56"/>
      <c r="AE131" s="56">
        <v>0</v>
      </c>
      <c r="AF131" s="56">
        <f t="shared" si="32"/>
        <v>1</v>
      </c>
      <c r="AG131" s="56">
        <f t="shared" si="33"/>
        <v>0</v>
      </c>
      <c r="AH131" s="56">
        <f t="shared" si="34"/>
        <v>0</v>
      </c>
      <c r="AI131" s="56">
        <f t="shared" si="35"/>
        <v>1</v>
      </c>
      <c r="AJ131" s="56">
        <f t="shared" si="36"/>
        <v>0</v>
      </c>
      <c r="AK131" s="56">
        <f t="shared" si="37"/>
        <v>0</v>
      </c>
      <c r="AL131" s="56">
        <f t="shared" si="38"/>
        <v>0</v>
      </c>
      <c r="AM131" s="56">
        <f t="shared" si="39"/>
        <v>0</v>
      </c>
      <c r="AN131" s="56">
        <f t="shared" si="40"/>
        <v>0</v>
      </c>
      <c r="AO131" s="58">
        <f t="shared" si="41"/>
        <v>1</v>
      </c>
      <c r="AP131" s="69"/>
      <c r="AQ131" s="40">
        <v>0</v>
      </c>
      <c r="AR131" s="40">
        <f t="shared" si="30"/>
        <v>1</v>
      </c>
      <c r="AS131" s="31">
        <v>0</v>
      </c>
      <c r="AT131" s="31">
        <v>0</v>
      </c>
      <c r="AU131" s="31">
        <v>0</v>
      </c>
      <c r="AV131" s="39">
        <v>0</v>
      </c>
      <c r="AW131" s="31"/>
      <c r="AX131" s="31"/>
      <c r="AY131" s="31"/>
      <c r="AZ131" s="31"/>
      <c r="BA131" s="39"/>
      <c r="BB131" s="152">
        <f t="shared" si="42"/>
        <v>1</v>
      </c>
      <c r="BC131" s="43">
        <v>513432</v>
      </c>
      <c r="BD131" s="43">
        <v>173849</v>
      </c>
      <c r="BE131" t="s">
        <v>1428</v>
      </c>
      <c r="BF131"/>
    </row>
    <row r="132" spans="1:66" ht="15" customHeight="1" x14ac:dyDescent="0.25">
      <c r="A132" s="56" t="s">
        <v>329</v>
      </c>
      <c r="B132" s="19" t="s">
        <v>31</v>
      </c>
      <c r="C132" s="56" t="s">
        <v>1203</v>
      </c>
      <c r="D132" s="34">
        <v>42790</v>
      </c>
      <c r="E132" s="34">
        <v>44186</v>
      </c>
      <c r="F132" s="37">
        <v>43745</v>
      </c>
      <c r="G132" s="19"/>
      <c r="H132" s="36" t="s">
        <v>1101</v>
      </c>
      <c r="I132" s="19" t="s">
        <v>1173</v>
      </c>
      <c r="J132" s="19"/>
      <c r="K132" s="56" t="s">
        <v>330</v>
      </c>
      <c r="L132" s="57" t="s">
        <v>331</v>
      </c>
      <c r="M132" s="56" t="s">
        <v>142</v>
      </c>
      <c r="N132" s="56"/>
      <c r="O132" s="56"/>
      <c r="P132" s="56"/>
      <c r="Q132" s="56"/>
      <c r="R132" s="56"/>
      <c r="S132" s="56"/>
      <c r="T132" s="56"/>
      <c r="U132" s="56"/>
      <c r="V132" s="56">
        <f t="shared" si="31"/>
        <v>0</v>
      </c>
      <c r="W132" s="56"/>
      <c r="X132" s="56">
        <v>8</v>
      </c>
      <c r="Y132" s="56">
        <v>1</v>
      </c>
      <c r="Z132" s="56"/>
      <c r="AA132" s="56"/>
      <c r="AB132" s="56"/>
      <c r="AC132" s="56"/>
      <c r="AD132" s="56"/>
      <c r="AE132" s="56"/>
      <c r="AF132" s="56">
        <f t="shared" si="32"/>
        <v>9</v>
      </c>
      <c r="AG132" s="56">
        <f t="shared" si="33"/>
        <v>8</v>
      </c>
      <c r="AH132" s="56">
        <f t="shared" si="34"/>
        <v>1</v>
      </c>
      <c r="AI132" s="56">
        <f t="shared" si="35"/>
        <v>0</v>
      </c>
      <c r="AJ132" s="56">
        <f t="shared" si="36"/>
        <v>0</v>
      </c>
      <c r="AK132" s="56">
        <f t="shared" si="37"/>
        <v>0</v>
      </c>
      <c r="AL132" s="56">
        <f t="shared" si="38"/>
        <v>0</v>
      </c>
      <c r="AM132" s="56">
        <f t="shared" si="39"/>
        <v>0</v>
      </c>
      <c r="AN132" s="56">
        <f t="shared" si="40"/>
        <v>0</v>
      </c>
      <c r="AO132" s="58">
        <f t="shared" si="41"/>
        <v>9</v>
      </c>
      <c r="AP132" s="69"/>
      <c r="AQ132" s="40">
        <v>0</v>
      </c>
      <c r="AR132" s="40">
        <f t="shared" si="30"/>
        <v>9</v>
      </c>
      <c r="AS132" s="31">
        <v>0</v>
      </c>
      <c r="AT132" s="31">
        <v>0</v>
      </c>
      <c r="AU132" s="31">
        <v>0</v>
      </c>
      <c r="AV132" s="39">
        <v>0</v>
      </c>
      <c r="AW132" s="31"/>
      <c r="AX132" s="31"/>
      <c r="AY132" s="31"/>
      <c r="AZ132" s="31"/>
      <c r="BA132" s="39"/>
      <c r="BB132" s="152">
        <f t="shared" si="42"/>
        <v>9</v>
      </c>
      <c r="BC132" s="43">
        <v>515974</v>
      </c>
      <c r="BD132" s="43">
        <v>173142</v>
      </c>
      <c r="BE132" t="s">
        <v>1426</v>
      </c>
      <c r="BF132"/>
      <c r="BG132" t="s">
        <v>1406</v>
      </c>
    </row>
    <row r="133" spans="1:66" ht="15" customHeight="1" x14ac:dyDescent="0.25">
      <c r="A133" s="56" t="s">
        <v>332</v>
      </c>
      <c r="B133" s="19" t="s">
        <v>20</v>
      </c>
      <c r="C133" s="56"/>
      <c r="D133" s="34">
        <v>42986</v>
      </c>
      <c r="E133" s="34">
        <v>44082</v>
      </c>
      <c r="F133" s="34">
        <v>43554</v>
      </c>
      <c r="G133" s="19"/>
      <c r="H133" s="36" t="s">
        <v>1101</v>
      </c>
      <c r="I133" s="19" t="s">
        <v>1173</v>
      </c>
      <c r="J133" s="19"/>
      <c r="K133" s="56" t="s">
        <v>333</v>
      </c>
      <c r="L133" s="60" t="s">
        <v>1345</v>
      </c>
      <c r="M133" s="56"/>
      <c r="N133" s="56"/>
      <c r="O133" s="56"/>
      <c r="P133" s="56"/>
      <c r="Q133" s="56"/>
      <c r="R133" s="56"/>
      <c r="S133" s="56"/>
      <c r="T133" s="56"/>
      <c r="U133" s="56"/>
      <c r="V133" s="56">
        <f t="shared" si="31"/>
        <v>0</v>
      </c>
      <c r="W133" s="56"/>
      <c r="X133" s="56">
        <v>9</v>
      </c>
      <c r="Y133" s="56">
        <v>7</v>
      </c>
      <c r="Z133" s="56">
        <v>4</v>
      </c>
      <c r="AA133" s="56"/>
      <c r="AB133" s="56"/>
      <c r="AC133" s="56"/>
      <c r="AD133" s="56"/>
      <c r="AE133" s="56"/>
      <c r="AF133" s="56">
        <f t="shared" si="32"/>
        <v>20</v>
      </c>
      <c r="AG133" s="56">
        <f t="shared" si="33"/>
        <v>9</v>
      </c>
      <c r="AH133" s="56">
        <f t="shared" si="34"/>
        <v>7</v>
      </c>
      <c r="AI133" s="56">
        <f t="shared" si="35"/>
        <v>4</v>
      </c>
      <c r="AJ133" s="56">
        <f t="shared" si="36"/>
        <v>0</v>
      </c>
      <c r="AK133" s="56">
        <f t="shared" si="37"/>
        <v>0</v>
      </c>
      <c r="AL133" s="56">
        <f t="shared" si="38"/>
        <v>0</v>
      </c>
      <c r="AM133" s="56">
        <f t="shared" si="39"/>
        <v>0</v>
      </c>
      <c r="AN133" s="56">
        <f t="shared" si="40"/>
        <v>0</v>
      </c>
      <c r="AO133" s="58">
        <f t="shared" si="41"/>
        <v>20</v>
      </c>
      <c r="AP133" s="69"/>
      <c r="AQ133" s="40">
        <v>0</v>
      </c>
      <c r="AR133" s="40">
        <f>$AO133/2</f>
        <v>10</v>
      </c>
      <c r="AS133" s="31">
        <f>$AO133/2</f>
        <v>10</v>
      </c>
      <c r="AT133" s="31">
        <v>0</v>
      </c>
      <c r="AU133" s="31">
        <v>0</v>
      </c>
      <c r="AV133" s="39">
        <v>0</v>
      </c>
      <c r="AW133" s="31"/>
      <c r="AX133" s="31"/>
      <c r="AY133" s="31"/>
      <c r="AZ133" s="31"/>
      <c r="BA133" s="39"/>
      <c r="BB133" s="152">
        <f t="shared" si="42"/>
        <v>20</v>
      </c>
      <c r="BC133" s="43">
        <v>519012</v>
      </c>
      <c r="BD133" s="43">
        <v>175761</v>
      </c>
      <c r="BE133" t="s">
        <v>1420</v>
      </c>
      <c r="BF133"/>
    </row>
    <row r="134" spans="1:66" ht="15" customHeight="1" x14ac:dyDescent="0.25">
      <c r="A134" s="56" t="s">
        <v>334</v>
      </c>
      <c r="B134" s="19" t="s">
        <v>20</v>
      </c>
      <c r="C134" s="56"/>
      <c r="D134" s="34">
        <v>42908</v>
      </c>
      <c r="E134" s="34">
        <v>44512</v>
      </c>
      <c r="F134" s="105">
        <v>43747</v>
      </c>
      <c r="G134" s="19"/>
      <c r="H134" s="36" t="s">
        <v>1101</v>
      </c>
      <c r="I134" s="19" t="s">
        <v>1173</v>
      </c>
      <c r="J134" s="19"/>
      <c r="K134" s="56" t="s">
        <v>335</v>
      </c>
      <c r="L134" s="57" t="s">
        <v>336</v>
      </c>
      <c r="M134" s="56" t="s">
        <v>337</v>
      </c>
      <c r="N134" s="56"/>
      <c r="O134" s="56"/>
      <c r="P134" s="56"/>
      <c r="Q134" s="56"/>
      <c r="R134" s="56"/>
      <c r="S134" s="56"/>
      <c r="T134" s="56"/>
      <c r="U134" s="56"/>
      <c r="V134" s="56">
        <f t="shared" si="31"/>
        <v>0</v>
      </c>
      <c r="W134" s="56"/>
      <c r="X134" s="56">
        <v>1</v>
      </c>
      <c r="Y134" s="56"/>
      <c r="Z134" s="56"/>
      <c r="AA134" s="56"/>
      <c r="AB134" s="56"/>
      <c r="AC134" s="56"/>
      <c r="AD134" s="56"/>
      <c r="AE134" s="56"/>
      <c r="AF134" s="56">
        <f t="shared" si="32"/>
        <v>1</v>
      </c>
      <c r="AG134" s="56">
        <f t="shared" si="33"/>
        <v>1</v>
      </c>
      <c r="AH134" s="56">
        <f t="shared" si="34"/>
        <v>0</v>
      </c>
      <c r="AI134" s="56">
        <f t="shared" si="35"/>
        <v>0</v>
      </c>
      <c r="AJ134" s="56">
        <f t="shared" si="36"/>
        <v>0</v>
      </c>
      <c r="AK134" s="56">
        <f t="shared" si="37"/>
        <v>0</v>
      </c>
      <c r="AL134" s="56">
        <f t="shared" si="38"/>
        <v>0</v>
      </c>
      <c r="AM134" s="56">
        <f t="shared" si="39"/>
        <v>0</v>
      </c>
      <c r="AN134" s="56">
        <f t="shared" si="40"/>
        <v>0</v>
      </c>
      <c r="AO134" s="58">
        <f t="shared" si="41"/>
        <v>1</v>
      </c>
      <c r="AP134" s="69"/>
      <c r="AQ134" s="40">
        <v>0</v>
      </c>
      <c r="AR134" s="40">
        <f>AO134</f>
        <v>1</v>
      </c>
      <c r="AS134" s="31">
        <v>0</v>
      </c>
      <c r="AT134" s="31">
        <v>0</v>
      </c>
      <c r="AU134" s="31">
        <v>0</v>
      </c>
      <c r="AV134" s="39">
        <v>0</v>
      </c>
      <c r="AW134" s="31"/>
      <c r="AX134" s="31"/>
      <c r="AY134" s="31"/>
      <c r="AZ134" s="31"/>
      <c r="BA134" s="39"/>
      <c r="BB134" s="152">
        <f t="shared" si="42"/>
        <v>1</v>
      </c>
      <c r="BC134" s="43">
        <v>518494</v>
      </c>
      <c r="BD134" s="43">
        <v>175035</v>
      </c>
      <c r="BE134" t="s">
        <v>1423</v>
      </c>
      <c r="BF134"/>
      <c r="BM134" t="s">
        <v>1545</v>
      </c>
      <c r="BN134" t="s">
        <v>1526</v>
      </c>
    </row>
    <row r="135" spans="1:66" ht="15" customHeight="1" x14ac:dyDescent="0.25">
      <c r="A135" s="56" t="s">
        <v>346</v>
      </c>
      <c r="B135" s="19" t="s">
        <v>20</v>
      </c>
      <c r="C135" s="56"/>
      <c r="D135" s="34">
        <v>43181</v>
      </c>
      <c r="E135" s="34">
        <v>44278</v>
      </c>
      <c r="F135" s="37">
        <v>43921</v>
      </c>
      <c r="G135" s="19"/>
      <c r="H135" s="36" t="s">
        <v>1101</v>
      </c>
      <c r="I135" s="19" t="s">
        <v>1173</v>
      </c>
      <c r="J135" s="19"/>
      <c r="K135" s="56" t="s">
        <v>347</v>
      </c>
      <c r="L135" s="57" t="s">
        <v>348</v>
      </c>
      <c r="M135" s="56" t="s">
        <v>349</v>
      </c>
      <c r="N135" s="56"/>
      <c r="O135" s="56"/>
      <c r="P135" s="56"/>
      <c r="Q135" s="56"/>
      <c r="R135" s="56"/>
      <c r="S135" s="56"/>
      <c r="T135" s="56"/>
      <c r="U135" s="56"/>
      <c r="V135" s="56">
        <f t="shared" si="31"/>
        <v>0</v>
      </c>
      <c r="W135" s="56"/>
      <c r="X135" s="56"/>
      <c r="Y135" s="56">
        <v>4</v>
      </c>
      <c r="Z135" s="56"/>
      <c r="AA135" s="56"/>
      <c r="AB135" s="56"/>
      <c r="AC135" s="56"/>
      <c r="AD135" s="56"/>
      <c r="AE135" s="56"/>
      <c r="AF135" s="56">
        <f t="shared" si="32"/>
        <v>4</v>
      </c>
      <c r="AG135" s="56">
        <f t="shared" si="33"/>
        <v>0</v>
      </c>
      <c r="AH135" s="56">
        <f t="shared" si="34"/>
        <v>4</v>
      </c>
      <c r="AI135" s="56">
        <f t="shared" si="35"/>
        <v>0</v>
      </c>
      <c r="AJ135" s="56">
        <f t="shared" si="36"/>
        <v>0</v>
      </c>
      <c r="AK135" s="56">
        <f t="shared" si="37"/>
        <v>0</v>
      </c>
      <c r="AL135" s="56">
        <f t="shared" si="38"/>
        <v>0</v>
      </c>
      <c r="AM135" s="56">
        <f t="shared" si="39"/>
        <v>0</v>
      </c>
      <c r="AN135" s="56">
        <f t="shared" si="40"/>
        <v>0</v>
      </c>
      <c r="AO135" s="58">
        <f t="shared" si="41"/>
        <v>4</v>
      </c>
      <c r="AP135" s="69"/>
      <c r="AQ135" s="40">
        <v>0</v>
      </c>
      <c r="AR135" s="40">
        <f>$AO135/2</f>
        <v>2</v>
      </c>
      <c r="AS135" s="31">
        <f>$AO135/2</f>
        <v>2</v>
      </c>
      <c r="AT135" s="31">
        <v>0</v>
      </c>
      <c r="AU135" s="31">
        <v>0</v>
      </c>
      <c r="AV135" s="39">
        <v>0</v>
      </c>
      <c r="AW135" s="31"/>
      <c r="AX135" s="31"/>
      <c r="AY135" s="31"/>
      <c r="AZ135" s="31"/>
      <c r="BA135" s="39"/>
      <c r="BB135" s="152">
        <f t="shared" si="42"/>
        <v>4</v>
      </c>
      <c r="BC135" s="43">
        <v>514687</v>
      </c>
      <c r="BD135" s="43">
        <v>171290</v>
      </c>
      <c r="BE135" t="s">
        <v>1458</v>
      </c>
      <c r="BF135"/>
    </row>
    <row r="136" spans="1:66" ht="15" customHeight="1" x14ac:dyDescent="0.25">
      <c r="A136" s="56" t="s">
        <v>350</v>
      </c>
      <c r="B136" s="19" t="s">
        <v>20</v>
      </c>
      <c r="C136" s="56"/>
      <c r="D136" s="34">
        <v>42954</v>
      </c>
      <c r="E136" s="34">
        <v>44050</v>
      </c>
      <c r="F136" s="37">
        <v>43179</v>
      </c>
      <c r="G136" s="19"/>
      <c r="H136" s="36" t="s">
        <v>1101</v>
      </c>
      <c r="I136" s="19" t="s">
        <v>1173</v>
      </c>
      <c r="J136" s="19"/>
      <c r="K136" s="56" t="s">
        <v>351</v>
      </c>
      <c r="L136" s="57" t="s">
        <v>352</v>
      </c>
      <c r="M136" s="56" t="s">
        <v>353</v>
      </c>
      <c r="N136" s="56"/>
      <c r="O136" s="56"/>
      <c r="P136" s="56"/>
      <c r="Q136" s="56">
        <v>1</v>
      </c>
      <c r="R136" s="56"/>
      <c r="S136" s="56"/>
      <c r="T136" s="56"/>
      <c r="U136" s="56"/>
      <c r="V136" s="56">
        <f t="shared" si="31"/>
        <v>1</v>
      </c>
      <c r="W136" s="56"/>
      <c r="X136" s="56"/>
      <c r="Y136" s="56"/>
      <c r="Z136" s="56"/>
      <c r="AA136" s="56"/>
      <c r="AB136" s="56">
        <v>1</v>
      </c>
      <c r="AC136" s="56">
        <v>1</v>
      </c>
      <c r="AD136" s="56"/>
      <c r="AE136" s="56"/>
      <c r="AF136" s="56">
        <f t="shared" si="32"/>
        <v>2</v>
      </c>
      <c r="AG136" s="56">
        <f t="shared" si="33"/>
        <v>0</v>
      </c>
      <c r="AH136" s="56">
        <f t="shared" si="34"/>
        <v>0</v>
      </c>
      <c r="AI136" s="56">
        <f t="shared" si="35"/>
        <v>0</v>
      </c>
      <c r="AJ136" s="56">
        <f t="shared" si="36"/>
        <v>-1</v>
      </c>
      <c r="AK136" s="56">
        <f t="shared" si="37"/>
        <v>1</v>
      </c>
      <c r="AL136" s="56">
        <f t="shared" si="38"/>
        <v>1</v>
      </c>
      <c r="AM136" s="56">
        <f t="shared" si="39"/>
        <v>0</v>
      </c>
      <c r="AN136" s="56">
        <f t="shared" si="40"/>
        <v>0</v>
      </c>
      <c r="AO136" s="58">
        <f t="shared" si="41"/>
        <v>1</v>
      </c>
      <c r="AP136" s="69"/>
      <c r="AQ136" s="40">
        <v>0</v>
      </c>
      <c r="AR136" s="40">
        <f>AO136</f>
        <v>1</v>
      </c>
      <c r="AS136" s="31">
        <v>0</v>
      </c>
      <c r="AT136" s="31">
        <v>0</v>
      </c>
      <c r="AU136" s="31">
        <v>0</v>
      </c>
      <c r="AV136" s="39">
        <v>0</v>
      </c>
      <c r="AW136" s="31"/>
      <c r="AX136" s="31"/>
      <c r="AY136" s="31"/>
      <c r="AZ136" s="31"/>
      <c r="BA136" s="39"/>
      <c r="BB136" s="152">
        <f t="shared" si="42"/>
        <v>1</v>
      </c>
      <c r="BC136" s="43">
        <v>517123</v>
      </c>
      <c r="BD136" s="43">
        <v>170663</v>
      </c>
      <c r="BE136" t="s">
        <v>1418</v>
      </c>
      <c r="BF136" t="s">
        <v>1410</v>
      </c>
    </row>
    <row r="137" spans="1:66" ht="15" customHeight="1" x14ac:dyDescent="0.25">
      <c r="A137" s="56" t="s">
        <v>394</v>
      </c>
      <c r="B137" s="19" t="s">
        <v>31</v>
      </c>
      <c r="C137" s="56" t="s">
        <v>1203</v>
      </c>
      <c r="D137" s="34">
        <v>42881</v>
      </c>
      <c r="E137" s="34">
        <v>44538</v>
      </c>
      <c r="F137" s="37">
        <v>43843</v>
      </c>
      <c r="G137" s="19"/>
      <c r="H137" s="36" t="s">
        <v>1101</v>
      </c>
      <c r="I137" s="19" t="s">
        <v>1173</v>
      </c>
      <c r="J137" s="19"/>
      <c r="K137" s="56" t="s">
        <v>395</v>
      </c>
      <c r="L137" s="57" t="s">
        <v>396</v>
      </c>
      <c r="M137" s="56" t="s">
        <v>397</v>
      </c>
      <c r="N137" s="56"/>
      <c r="O137" s="56"/>
      <c r="P137" s="56"/>
      <c r="Q137" s="56"/>
      <c r="R137" s="56"/>
      <c r="S137" s="56"/>
      <c r="T137" s="56"/>
      <c r="U137" s="56"/>
      <c r="V137" s="56">
        <f t="shared" si="31"/>
        <v>0</v>
      </c>
      <c r="W137" s="56"/>
      <c r="X137" s="56"/>
      <c r="Y137" s="56">
        <v>2</v>
      </c>
      <c r="Z137" s="56"/>
      <c r="AA137" s="56"/>
      <c r="AB137" s="56"/>
      <c r="AC137" s="56"/>
      <c r="AD137" s="56"/>
      <c r="AE137" s="56"/>
      <c r="AF137" s="56">
        <f t="shared" si="32"/>
        <v>2</v>
      </c>
      <c r="AG137" s="56">
        <f t="shared" si="33"/>
        <v>0</v>
      </c>
      <c r="AH137" s="56">
        <f t="shared" si="34"/>
        <v>2</v>
      </c>
      <c r="AI137" s="56">
        <f t="shared" si="35"/>
        <v>0</v>
      </c>
      <c r="AJ137" s="56">
        <f t="shared" si="36"/>
        <v>0</v>
      </c>
      <c r="AK137" s="56">
        <f t="shared" si="37"/>
        <v>0</v>
      </c>
      <c r="AL137" s="56">
        <f t="shared" si="38"/>
        <v>0</v>
      </c>
      <c r="AM137" s="56">
        <f t="shared" si="39"/>
        <v>0</v>
      </c>
      <c r="AN137" s="56">
        <f t="shared" si="40"/>
        <v>0</v>
      </c>
      <c r="AO137" s="58">
        <f t="shared" si="41"/>
        <v>2</v>
      </c>
      <c r="AP137" s="69"/>
      <c r="AQ137" s="40">
        <v>0</v>
      </c>
      <c r="AR137" s="40">
        <f>AO137</f>
        <v>2</v>
      </c>
      <c r="AS137" s="31">
        <v>0</v>
      </c>
      <c r="AT137" s="31">
        <v>0</v>
      </c>
      <c r="AU137" s="31">
        <v>0</v>
      </c>
      <c r="AV137" s="39">
        <v>0</v>
      </c>
      <c r="AW137" s="31"/>
      <c r="AX137" s="31"/>
      <c r="AY137" s="31"/>
      <c r="AZ137" s="31"/>
      <c r="BA137" s="39"/>
      <c r="BB137" s="152">
        <f t="shared" si="42"/>
        <v>2</v>
      </c>
      <c r="BC137" s="43">
        <v>519061</v>
      </c>
      <c r="BD137" s="43">
        <v>176662</v>
      </c>
      <c r="BE137" t="s">
        <v>1420</v>
      </c>
      <c r="BF137"/>
      <c r="BM137" t="s">
        <v>1545</v>
      </c>
      <c r="BN137" t="s">
        <v>1510</v>
      </c>
    </row>
    <row r="138" spans="1:66" ht="15" customHeight="1" x14ac:dyDescent="0.25">
      <c r="A138" s="56" t="s">
        <v>398</v>
      </c>
      <c r="B138" s="19" t="s">
        <v>20</v>
      </c>
      <c r="C138" s="56"/>
      <c r="D138" s="34">
        <v>43013</v>
      </c>
      <c r="E138" s="34">
        <v>43078</v>
      </c>
      <c r="F138" s="34">
        <v>43013</v>
      </c>
      <c r="G138" s="34">
        <v>43966</v>
      </c>
      <c r="H138" s="33" t="s">
        <v>1101</v>
      </c>
      <c r="I138" s="19" t="s">
        <v>1173</v>
      </c>
      <c r="J138" s="19"/>
      <c r="K138" s="19" t="s">
        <v>399</v>
      </c>
      <c r="L138" s="46" t="s">
        <v>1107</v>
      </c>
      <c r="M138" s="56" t="s">
        <v>129</v>
      </c>
      <c r="N138" s="56"/>
      <c r="O138" s="56"/>
      <c r="P138" s="56"/>
      <c r="Q138" s="56"/>
      <c r="R138" s="56"/>
      <c r="S138" s="56"/>
      <c r="T138" s="56"/>
      <c r="U138" s="56"/>
      <c r="V138" s="56">
        <v>0</v>
      </c>
      <c r="W138" s="56"/>
      <c r="X138" s="2"/>
      <c r="Y138" s="2"/>
      <c r="Z138" s="2"/>
      <c r="AA138" s="2">
        <v>6</v>
      </c>
      <c r="AB138" s="2"/>
      <c r="AC138" s="2"/>
      <c r="AD138" s="2"/>
      <c r="AE138" s="2"/>
      <c r="AF138" s="56">
        <f t="shared" si="32"/>
        <v>6</v>
      </c>
      <c r="AG138" s="56">
        <f t="shared" si="33"/>
        <v>0</v>
      </c>
      <c r="AH138" s="56">
        <f t="shared" si="34"/>
        <v>0</v>
      </c>
      <c r="AI138" s="56">
        <f t="shared" si="35"/>
        <v>0</v>
      </c>
      <c r="AJ138" s="56">
        <f t="shared" si="36"/>
        <v>6</v>
      </c>
      <c r="AK138" s="56">
        <f t="shared" si="37"/>
        <v>0</v>
      </c>
      <c r="AL138" s="56">
        <f t="shared" si="38"/>
        <v>0</v>
      </c>
      <c r="AM138" s="56">
        <f t="shared" si="39"/>
        <v>0</v>
      </c>
      <c r="AN138" s="56">
        <f t="shared" si="40"/>
        <v>0</v>
      </c>
      <c r="AO138" s="58">
        <f t="shared" si="41"/>
        <v>6</v>
      </c>
      <c r="AP138" s="69"/>
      <c r="AQ138" s="40">
        <v>0</v>
      </c>
      <c r="AR138" s="40">
        <v>6</v>
      </c>
      <c r="AS138" s="31">
        <v>0</v>
      </c>
      <c r="AT138" s="31">
        <v>0</v>
      </c>
      <c r="AU138" s="31">
        <v>0</v>
      </c>
      <c r="AV138" s="39">
        <v>0</v>
      </c>
      <c r="AW138" s="31"/>
      <c r="AX138" s="31"/>
      <c r="AY138" s="31"/>
      <c r="AZ138" s="31"/>
      <c r="BA138" s="39"/>
      <c r="BB138" s="152">
        <f t="shared" si="42"/>
        <v>6</v>
      </c>
      <c r="BC138" s="43">
        <v>516802</v>
      </c>
      <c r="BD138" s="43">
        <v>171333</v>
      </c>
      <c r="BE138" t="s">
        <v>1405</v>
      </c>
      <c r="BF138"/>
      <c r="BH138" t="s">
        <v>1404</v>
      </c>
    </row>
    <row r="139" spans="1:66" ht="15" customHeight="1" x14ac:dyDescent="0.25">
      <c r="A139" s="56" t="s">
        <v>404</v>
      </c>
      <c r="B139" s="19" t="s">
        <v>31</v>
      </c>
      <c r="C139" s="56"/>
      <c r="D139" s="34">
        <v>43214</v>
      </c>
      <c r="E139" s="34">
        <v>44310</v>
      </c>
      <c r="F139" s="37">
        <v>43741</v>
      </c>
      <c r="G139" s="19"/>
      <c r="H139" s="36" t="s">
        <v>1101</v>
      </c>
      <c r="I139" s="19" t="s">
        <v>1173</v>
      </c>
      <c r="J139" s="19"/>
      <c r="K139" s="56" t="s">
        <v>405</v>
      </c>
      <c r="L139" s="57" t="s">
        <v>406</v>
      </c>
      <c r="M139" s="56" t="s">
        <v>407</v>
      </c>
      <c r="N139" s="56"/>
      <c r="O139" s="56"/>
      <c r="P139" s="56"/>
      <c r="Q139" s="56"/>
      <c r="R139" s="56"/>
      <c r="S139" s="56"/>
      <c r="T139" s="56"/>
      <c r="U139" s="56"/>
      <c r="V139" s="56">
        <f t="shared" ref="V139:V170" si="43">SUM(N139:U139)</f>
        <v>0</v>
      </c>
      <c r="W139" s="56"/>
      <c r="X139" s="56">
        <v>1</v>
      </c>
      <c r="Y139" s="56"/>
      <c r="Z139" s="56"/>
      <c r="AA139" s="56"/>
      <c r="AB139" s="56"/>
      <c r="AC139" s="56"/>
      <c r="AD139" s="56"/>
      <c r="AE139" s="56"/>
      <c r="AF139" s="56">
        <f t="shared" si="32"/>
        <v>1</v>
      </c>
      <c r="AG139" s="56">
        <f t="shared" si="33"/>
        <v>1</v>
      </c>
      <c r="AH139" s="56">
        <f t="shared" si="34"/>
        <v>0</v>
      </c>
      <c r="AI139" s="56">
        <f t="shared" si="35"/>
        <v>0</v>
      </c>
      <c r="AJ139" s="56">
        <f t="shared" si="36"/>
        <v>0</v>
      </c>
      <c r="AK139" s="56">
        <f t="shared" si="37"/>
        <v>0</v>
      </c>
      <c r="AL139" s="56">
        <f t="shared" si="38"/>
        <v>0</v>
      </c>
      <c r="AM139" s="56">
        <f t="shared" si="39"/>
        <v>0</v>
      </c>
      <c r="AN139" s="56">
        <f t="shared" si="40"/>
        <v>0</v>
      </c>
      <c r="AO139" s="58">
        <f t="shared" si="41"/>
        <v>1</v>
      </c>
      <c r="AP139" s="69"/>
      <c r="AQ139" s="40">
        <v>0</v>
      </c>
      <c r="AR139" s="40">
        <f t="shared" ref="AR139:AR171" si="44">AO139</f>
        <v>1</v>
      </c>
      <c r="AS139" s="31">
        <v>0</v>
      </c>
      <c r="AT139" s="31">
        <v>0</v>
      </c>
      <c r="AU139" s="31">
        <v>0</v>
      </c>
      <c r="AV139" s="39">
        <v>0</v>
      </c>
      <c r="AW139" s="31"/>
      <c r="AX139" s="31"/>
      <c r="AY139" s="31"/>
      <c r="AZ139" s="31"/>
      <c r="BA139" s="39"/>
      <c r="BB139" s="152">
        <f t="shared" si="42"/>
        <v>1</v>
      </c>
      <c r="BC139" s="43">
        <v>515313</v>
      </c>
      <c r="BD139" s="43">
        <v>173179</v>
      </c>
      <c r="BE139" t="s">
        <v>1424</v>
      </c>
      <c r="BF139"/>
    </row>
    <row r="140" spans="1:66" ht="15" customHeight="1" x14ac:dyDescent="0.25">
      <c r="A140" s="56" t="s">
        <v>420</v>
      </c>
      <c r="B140" s="19" t="s">
        <v>31</v>
      </c>
      <c r="C140" s="56"/>
      <c r="D140" s="34">
        <v>43356</v>
      </c>
      <c r="E140" s="34">
        <v>44452</v>
      </c>
      <c r="F140" s="37">
        <v>43739</v>
      </c>
      <c r="G140" s="19"/>
      <c r="H140" s="36" t="s">
        <v>1101</v>
      </c>
      <c r="I140" s="19" t="s">
        <v>1173</v>
      </c>
      <c r="J140" s="19"/>
      <c r="K140" s="56" t="s">
        <v>421</v>
      </c>
      <c r="L140" s="46" t="s">
        <v>422</v>
      </c>
      <c r="M140" s="56" t="s">
        <v>423</v>
      </c>
      <c r="N140" s="56"/>
      <c r="O140" s="56"/>
      <c r="P140" s="56"/>
      <c r="Q140" s="56"/>
      <c r="R140" s="56"/>
      <c r="S140" s="56"/>
      <c r="T140" s="56"/>
      <c r="U140" s="56"/>
      <c r="V140" s="56">
        <f t="shared" si="43"/>
        <v>0</v>
      </c>
      <c r="W140" s="56"/>
      <c r="X140" s="56"/>
      <c r="Y140" s="56">
        <v>2</v>
      </c>
      <c r="Z140" s="56"/>
      <c r="AA140" s="56"/>
      <c r="AB140" s="56"/>
      <c r="AC140" s="56"/>
      <c r="AD140" s="56"/>
      <c r="AE140" s="56"/>
      <c r="AF140" s="56">
        <f t="shared" si="32"/>
        <v>2</v>
      </c>
      <c r="AG140" s="56">
        <f t="shared" si="33"/>
        <v>0</v>
      </c>
      <c r="AH140" s="56">
        <f t="shared" si="34"/>
        <v>2</v>
      </c>
      <c r="AI140" s="56">
        <f t="shared" si="35"/>
        <v>0</v>
      </c>
      <c r="AJ140" s="56">
        <f t="shared" si="36"/>
        <v>0</v>
      </c>
      <c r="AK140" s="56">
        <f t="shared" si="37"/>
        <v>0</v>
      </c>
      <c r="AL140" s="56">
        <f t="shared" si="38"/>
        <v>0</v>
      </c>
      <c r="AM140" s="56">
        <f t="shared" si="39"/>
        <v>0</v>
      </c>
      <c r="AN140" s="56">
        <f t="shared" si="40"/>
        <v>0</v>
      </c>
      <c r="AO140" s="58">
        <f t="shared" si="41"/>
        <v>2</v>
      </c>
      <c r="AP140" s="69"/>
      <c r="AQ140" s="40">
        <v>0</v>
      </c>
      <c r="AR140" s="40">
        <f t="shared" si="44"/>
        <v>2</v>
      </c>
      <c r="AS140" s="31">
        <v>0</v>
      </c>
      <c r="AT140" s="31">
        <v>0</v>
      </c>
      <c r="AU140" s="31">
        <v>0</v>
      </c>
      <c r="AV140" s="39">
        <v>0</v>
      </c>
      <c r="AW140" s="31"/>
      <c r="AX140" s="31"/>
      <c r="AY140" s="31"/>
      <c r="AZ140" s="31"/>
      <c r="BA140" s="39"/>
      <c r="BB140" s="152">
        <f t="shared" si="42"/>
        <v>2</v>
      </c>
      <c r="BC140" s="43">
        <v>515790</v>
      </c>
      <c r="BD140" s="43">
        <v>173166</v>
      </c>
      <c r="BE140" t="s">
        <v>1424</v>
      </c>
      <c r="BF140"/>
      <c r="BG140" t="s">
        <v>1406</v>
      </c>
    </row>
    <row r="141" spans="1:66" ht="15" customHeight="1" x14ac:dyDescent="0.25">
      <c r="A141" s="56" t="s">
        <v>424</v>
      </c>
      <c r="B141" s="19" t="s">
        <v>20</v>
      </c>
      <c r="C141" s="56"/>
      <c r="D141" s="34">
        <v>43067</v>
      </c>
      <c r="E141" s="34">
        <v>44163</v>
      </c>
      <c r="F141" s="34">
        <v>43497</v>
      </c>
      <c r="G141" s="34"/>
      <c r="H141" s="36" t="s">
        <v>1101</v>
      </c>
      <c r="I141" s="19" t="s">
        <v>1173</v>
      </c>
      <c r="J141" s="19"/>
      <c r="K141" s="56" t="s">
        <v>425</v>
      </c>
      <c r="L141" s="57" t="s">
        <v>426</v>
      </c>
      <c r="M141" s="56" t="s">
        <v>427</v>
      </c>
      <c r="N141" s="56"/>
      <c r="O141" s="56"/>
      <c r="P141" s="56"/>
      <c r="Q141" s="56"/>
      <c r="R141" s="56"/>
      <c r="S141" s="56"/>
      <c r="T141" s="56"/>
      <c r="U141" s="56"/>
      <c r="V141" s="56">
        <f t="shared" si="43"/>
        <v>0</v>
      </c>
      <c r="W141" s="56"/>
      <c r="X141" s="56"/>
      <c r="Y141" s="56"/>
      <c r="Z141" s="56"/>
      <c r="AA141" s="56">
        <v>2</v>
      </c>
      <c r="AB141" s="56"/>
      <c r="AC141" s="56"/>
      <c r="AD141" s="56"/>
      <c r="AE141" s="56"/>
      <c r="AF141" s="56">
        <f t="shared" si="32"/>
        <v>2</v>
      </c>
      <c r="AG141" s="56">
        <f t="shared" si="33"/>
        <v>0</v>
      </c>
      <c r="AH141" s="56">
        <f t="shared" si="34"/>
        <v>0</v>
      </c>
      <c r="AI141" s="56">
        <f t="shared" si="35"/>
        <v>0</v>
      </c>
      <c r="AJ141" s="56">
        <f t="shared" si="36"/>
        <v>2</v>
      </c>
      <c r="AK141" s="56">
        <f t="shared" si="37"/>
        <v>0</v>
      </c>
      <c r="AL141" s="56">
        <f t="shared" si="38"/>
        <v>0</v>
      </c>
      <c r="AM141" s="56">
        <f t="shared" si="39"/>
        <v>0</v>
      </c>
      <c r="AN141" s="56">
        <f t="shared" si="40"/>
        <v>0</v>
      </c>
      <c r="AO141" s="58">
        <f t="shared" si="41"/>
        <v>2</v>
      </c>
      <c r="AP141" s="69"/>
      <c r="AQ141" s="40">
        <v>0</v>
      </c>
      <c r="AR141" s="40">
        <f t="shared" si="44"/>
        <v>2</v>
      </c>
      <c r="AS141" s="31">
        <v>0</v>
      </c>
      <c r="AT141" s="31">
        <v>0</v>
      </c>
      <c r="AU141" s="31">
        <v>0</v>
      </c>
      <c r="AV141" s="39">
        <v>0</v>
      </c>
      <c r="AW141" s="31"/>
      <c r="AX141" s="31"/>
      <c r="AY141" s="31"/>
      <c r="AZ141" s="31"/>
      <c r="BA141" s="39"/>
      <c r="BB141" s="152">
        <f t="shared" si="42"/>
        <v>2</v>
      </c>
      <c r="BC141" s="43">
        <v>519840</v>
      </c>
      <c r="BD141" s="43">
        <v>175428</v>
      </c>
      <c r="BE141" t="s">
        <v>1422</v>
      </c>
      <c r="BF141"/>
    </row>
    <row r="142" spans="1:66" ht="15" customHeight="1" x14ac:dyDescent="0.25">
      <c r="A142" s="56" t="s">
        <v>432</v>
      </c>
      <c r="B142" s="19" t="s">
        <v>20</v>
      </c>
      <c r="C142" s="56"/>
      <c r="D142" s="34">
        <v>42972</v>
      </c>
      <c r="E142" s="34">
        <v>44292</v>
      </c>
      <c r="F142" s="34">
        <v>43435</v>
      </c>
      <c r="G142" s="19"/>
      <c r="H142" s="36" t="s">
        <v>1101</v>
      </c>
      <c r="I142" s="19" t="s">
        <v>1173</v>
      </c>
      <c r="J142" s="19"/>
      <c r="K142" s="56" t="s">
        <v>433</v>
      </c>
      <c r="L142" s="57" t="s">
        <v>434</v>
      </c>
      <c r="M142" s="56" t="s">
        <v>435</v>
      </c>
      <c r="N142" s="56"/>
      <c r="O142" s="56"/>
      <c r="P142" s="56"/>
      <c r="Q142" s="56"/>
      <c r="R142" s="56">
        <v>1</v>
      </c>
      <c r="S142" s="56"/>
      <c r="T142" s="56"/>
      <c r="U142" s="56"/>
      <c r="V142" s="56">
        <f t="shared" si="43"/>
        <v>1</v>
      </c>
      <c r="W142" s="56"/>
      <c r="X142" s="56"/>
      <c r="Y142" s="56"/>
      <c r="Z142" s="56"/>
      <c r="AA142" s="56"/>
      <c r="AB142" s="56"/>
      <c r="AC142" s="56">
        <v>1</v>
      </c>
      <c r="AD142" s="56"/>
      <c r="AE142" s="56"/>
      <c r="AF142" s="56">
        <f t="shared" si="32"/>
        <v>1</v>
      </c>
      <c r="AG142" s="56">
        <f t="shared" si="33"/>
        <v>0</v>
      </c>
      <c r="AH142" s="56">
        <f t="shared" si="34"/>
        <v>0</v>
      </c>
      <c r="AI142" s="56">
        <f t="shared" si="35"/>
        <v>0</v>
      </c>
      <c r="AJ142" s="56">
        <f t="shared" si="36"/>
        <v>0</v>
      </c>
      <c r="AK142" s="56">
        <f t="shared" si="37"/>
        <v>-1</v>
      </c>
      <c r="AL142" s="56">
        <f t="shared" si="38"/>
        <v>1</v>
      </c>
      <c r="AM142" s="56">
        <f t="shared" si="39"/>
        <v>0</v>
      </c>
      <c r="AN142" s="56">
        <f t="shared" si="40"/>
        <v>0</v>
      </c>
      <c r="AO142" s="58">
        <f t="shared" si="41"/>
        <v>0</v>
      </c>
      <c r="AP142" s="69"/>
      <c r="AQ142" s="40">
        <v>0</v>
      </c>
      <c r="AR142" s="40">
        <f t="shared" si="44"/>
        <v>0</v>
      </c>
      <c r="AS142" s="31">
        <v>0</v>
      </c>
      <c r="AT142" s="31">
        <v>0</v>
      </c>
      <c r="AU142" s="31">
        <v>0</v>
      </c>
      <c r="AV142" s="39">
        <v>0</v>
      </c>
      <c r="AW142" s="31"/>
      <c r="AX142" s="31"/>
      <c r="AY142" s="31"/>
      <c r="AZ142" s="31"/>
      <c r="BA142" s="39"/>
      <c r="BB142" s="152">
        <f t="shared" si="42"/>
        <v>0</v>
      </c>
      <c r="BC142" s="43">
        <v>520119</v>
      </c>
      <c r="BD142" s="43">
        <v>174521</v>
      </c>
      <c r="BE142" t="s">
        <v>1402</v>
      </c>
      <c r="BF142"/>
      <c r="BM142" t="s">
        <v>1545</v>
      </c>
      <c r="BN142" t="s">
        <v>1527</v>
      </c>
    </row>
    <row r="143" spans="1:66" ht="15" customHeight="1" x14ac:dyDescent="0.25">
      <c r="A143" s="56" t="s">
        <v>456</v>
      </c>
      <c r="B143" s="19" t="s">
        <v>20</v>
      </c>
      <c r="C143" s="56"/>
      <c r="D143" s="34">
        <v>43203</v>
      </c>
      <c r="E143" s="34">
        <v>44299</v>
      </c>
      <c r="F143" s="34">
        <v>43434</v>
      </c>
      <c r="G143" s="19"/>
      <c r="H143" s="36" t="s">
        <v>1101</v>
      </c>
      <c r="I143" s="19" t="s">
        <v>1173</v>
      </c>
      <c r="J143" s="19"/>
      <c r="K143" s="56" t="s">
        <v>457</v>
      </c>
      <c r="L143" s="57" t="s">
        <v>458</v>
      </c>
      <c r="M143" s="56" t="s">
        <v>459</v>
      </c>
      <c r="N143" s="56"/>
      <c r="O143" s="56"/>
      <c r="P143" s="56">
        <v>1</v>
      </c>
      <c r="Q143" s="56"/>
      <c r="R143" s="56"/>
      <c r="S143" s="56"/>
      <c r="T143" s="56"/>
      <c r="U143" s="56"/>
      <c r="V143" s="56">
        <f t="shared" si="43"/>
        <v>1</v>
      </c>
      <c r="W143" s="56"/>
      <c r="X143" s="56"/>
      <c r="Y143" s="56"/>
      <c r="Z143" s="56"/>
      <c r="AA143" s="56"/>
      <c r="AB143" s="56">
        <v>1</v>
      </c>
      <c r="AC143" s="56"/>
      <c r="AD143" s="56"/>
      <c r="AE143" s="56"/>
      <c r="AF143" s="56">
        <f t="shared" si="32"/>
        <v>1</v>
      </c>
      <c r="AG143" s="56">
        <f t="shared" si="33"/>
        <v>0</v>
      </c>
      <c r="AH143" s="56">
        <f t="shared" si="34"/>
        <v>0</v>
      </c>
      <c r="AI143" s="56">
        <f t="shared" si="35"/>
        <v>-1</v>
      </c>
      <c r="AJ143" s="56">
        <f t="shared" si="36"/>
        <v>0</v>
      </c>
      <c r="AK143" s="56">
        <f t="shared" si="37"/>
        <v>1</v>
      </c>
      <c r="AL143" s="56">
        <f t="shared" si="38"/>
        <v>0</v>
      </c>
      <c r="AM143" s="56">
        <f t="shared" si="39"/>
        <v>0</v>
      </c>
      <c r="AN143" s="56">
        <f t="shared" si="40"/>
        <v>0</v>
      </c>
      <c r="AO143" s="58">
        <f t="shared" si="41"/>
        <v>0</v>
      </c>
      <c r="AP143" s="69"/>
      <c r="AQ143" s="40">
        <v>0</v>
      </c>
      <c r="AR143" s="40">
        <f t="shared" si="44"/>
        <v>0</v>
      </c>
      <c r="AS143" s="31">
        <v>0</v>
      </c>
      <c r="AT143" s="31">
        <v>0</v>
      </c>
      <c r="AU143" s="31">
        <v>0</v>
      </c>
      <c r="AV143" s="39">
        <v>0</v>
      </c>
      <c r="AW143" s="31"/>
      <c r="AX143" s="31"/>
      <c r="AY143" s="31"/>
      <c r="AZ143" s="31"/>
      <c r="BA143" s="39"/>
      <c r="BB143" s="152">
        <f t="shared" si="42"/>
        <v>0</v>
      </c>
      <c r="BC143" s="43">
        <v>517655</v>
      </c>
      <c r="BD143" s="43">
        <v>172610</v>
      </c>
      <c r="BE143" t="s">
        <v>1487</v>
      </c>
      <c r="BF143"/>
    </row>
    <row r="144" spans="1:66" ht="15" customHeight="1" x14ac:dyDescent="0.25">
      <c r="A144" s="56" t="s">
        <v>464</v>
      </c>
      <c r="B144" s="19" t="s">
        <v>31</v>
      </c>
      <c r="C144" s="56"/>
      <c r="D144" s="34">
        <v>43048</v>
      </c>
      <c r="E144" s="34">
        <v>44144</v>
      </c>
      <c r="F144" s="34">
        <v>43347</v>
      </c>
      <c r="G144" s="19"/>
      <c r="H144" s="36" t="s">
        <v>1101</v>
      </c>
      <c r="I144" s="19" t="s">
        <v>1173</v>
      </c>
      <c r="J144" s="19"/>
      <c r="K144" s="56" t="s">
        <v>465</v>
      </c>
      <c r="L144" s="57" t="s">
        <v>466</v>
      </c>
      <c r="M144" s="56" t="s">
        <v>467</v>
      </c>
      <c r="N144" s="56"/>
      <c r="O144" s="56"/>
      <c r="P144" s="56"/>
      <c r="Q144" s="56"/>
      <c r="R144" s="56"/>
      <c r="S144" s="56"/>
      <c r="T144" s="56"/>
      <c r="U144" s="56"/>
      <c r="V144" s="56">
        <f t="shared" si="43"/>
        <v>0</v>
      </c>
      <c r="W144" s="56"/>
      <c r="X144" s="56">
        <v>1</v>
      </c>
      <c r="Y144" s="56"/>
      <c r="Z144" s="56"/>
      <c r="AA144" s="56"/>
      <c r="AB144" s="56"/>
      <c r="AC144" s="56"/>
      <c r="AD144" s="56"/>
      <c r="AE144" s="56"/>
      <c r="AF144" s="56">
        <f t="shared" si="32"/>
        <v>1</v>
      </c>
      <c r="AG144" s="56">
        <f t="shared" si="33"/>
        <v>1</v>
      </c>
      <c r="AH144" s="56">
        <f t="shared" si="34"/>
        <v>0</v>
      </c>
      <c r="AI144" s="56">
        <f t="shared" si="35"/>
        <v>0</v>
      </c>
      <c r="AJ144" s="56">
        <f t="shared" si="36"/>
        <v>0</v>
      </c>
      <c r="AK144" s="56">
        <f t="shared" si="37"/>
        <v>0</v>
      </c>
      <c r="AL144" s="56">
        <f t="shared" si="38"/>
        <v>0</v>
      </c>
      <c r="AM144" s="56">
        <f t="shared" si="39"/>
        <v>0</v>
      </c>
      <c r="AN144" s="56">
        <f t="shared" si="40"/>
        <v>0</v>
      </c>
      <c r="AO144" s="58">
        <f t="shared" si="41"/>
        <v>1</v>
      </c>
      <c r="AP144" s="69"/>
      <c r="AQ144" s="40">
        <v>0</v>
      </c>
      <c r="AR144" s="40">
        <f t="shared" si="44"/>
        <v>1</v>
      </c>
      <c r="AS144" s="31">
        <v>0</v>
      </c>
      <c r="AT144" s="31">
        <v>0</v>
      </c>
      <c r="AU144" s="31">
        <v>0</v>
      </c>
      <c r="AV144" s="39">
        <v>0</v>
      </c>
      <c r="AW144" s="31"/>
      <c r="AX144" s="31"/>
      <c r="AY144" s="31"/>
      <c r="AZ144" s="31"/>
      <c r="BA144" s="39"/>
      <c r="BB144" s="152">
        <f t="shared" si="42"/>
        <v>1</v>
      </c>
      <c r="BC144" s="43">
        <v>521310</v>
      </c>
      <c r="BD144" s="43">
        <v>175864</v>
      </c>
      <c r="BE144" t="s">
        <v>1459</v>
      </c>
      <c r="BF144"/>
      <c r="BI144" t="s">
        <v>1551</v>
      </c>
      <c r="BJ144" t="s">
        <v>1494</v>
      </c>
    </row>
    <row r="145" spans="1:66" ht="15" customHeight="1" x14ac:dyDescent="0.25">
      <c r="A145" s="56" t="s">
        <v>518</v>
      </c>
      <c r="B145" s="19" t="s">
        <v>20</v>
      </c>
      <c r="C145" s="56"/>
      <c r="D145" s="34">
        <v>43215</v>
      </c>
      <c r="E145" s="34">
        <v>44311</v>
      </c>
      <c r="F145" s="37">
        <v>43892</v>
      </c>
      <c r="G145" s="19"/>
      <c r="H145" s="36" t="s">
        <v>1101</v>
      </c>
      <c r="I145" s="19" t="s">
        <v>1173</v>
      </c>
      <c r="J145" s="19"/>
      <c r="K145" s="56" t="s">
        <v>519</v>
      </c>
      <c r="L145" s="57" t="s">
        <v>520</v>
      </c>
      <c r="M145" s="56" t="s">
        <v>521</v>
      </c>
      <c r="N145" s="56"/>
      <c r="O145" s="56"/>
      <c r="P145" s="56"/>
      <c r="Q145" s="56"/>
      <c r="R145" s="56"/>
      <c r="S145" s="56"/>
      <c r="T145" s="56"/>
      <c r="U145" s="56"/>
      <c r="V145" s="56">
        <f t="shared" si="43"/>
        <v>0</v>
      </c>
      <c r="W145" s="56"/>
      <c r="X145" s="56"/>
      <c r="Y145" s="56"/>
      <c r="Z145" s="56">
        <v>1</v>
      </c>
      <c r="AA145" s="56"/>
      <c r="AB145" s="56"/>
      <c r="AC145" s="56"/>
      <c r="AD145" s="56"/>
      <c r="AE145" s="56"/>
      <c r="AF145" s="56">
        <f t="shared" si="32"/>
        <v>1</v>
      </c>
      <c r="AG145" s="56">
        <f t="shared" si="33"/>
        <v>0</v>
      </c>
      <c r="AH145" s="56">
        <f t="shared" si="34"/>
        <v>0</v>
      </c>
      <c r="AI145" s="56">
        <f t="shared" si="35"/>
        <v>1</v>
      </c>
      <c r="AJ145" s="56">
        <f t="shared" si="36"/>
        <v>0</v>
      </c>
      <c r="AK145" s="56">
        <f t="shared" si="37"/>
        <v>0</v>
      </c>
      <c r="AL145" s="56">
        <f t="shared" si="38"/>
        <v>0</v>
      </c>
      <c r="AM145" s="56">
        <f t="shared" si="39"/>
        <v>0</v>
      </c>
      <c r="AN145" s="56">
        <f t="shared" si="40"/>
        <v>0</v>
      </c>
      <c r="AO145" s="58">
        <f t="shared" si="41"/>
        <v>1</v>
      </c>
      <c r="AP145" s="69"/>
      <c r="AQ145" s="40">
        <v>0</v>
      </c>
      <c r="AR145" s="40">
        <f t="shared" si="44"/>
        <v>1</v>
      </c>
      <c r="AS145" s="31">
        <v>0</v>
      </c>
      <c r="AT145" s="31">
        <v>0</v>
      </c>
      <c r="AU145" s="31">
        <v>0</v>
      </c>
      <c r="AV145" s="39">
        <v>0</v>
      </c>
      <c r="AW145" s="31"/>
      <c r="AX145" s="31"/>
      <c r="AY145" s="31"/>
      <c r="AZ145" s="31"/>
      <c r="BA145" s="39"/>
      <c r="BB145" s="152">
        <f t="shared" si="42"/>
        <v>1</v>
      </c>
      <c r="BC145" s="43">
        <v>517808</v>
      </c>
      <c r="BD145" s="43">
        <v>173353</v>
      </c>
      <c r="BE145" t="s">
        <v>1487</v>
      </c>
      <c r="BF145"/>
      <c r="BH145" t="s">
        <v>1404</v>
      </c>
      <c r="BL145" t="s">
        <v>1528</v>
      </c>
      <c r="BM145" t="s">
        <v>1545</v>
      </c>
      <c r="BN145" t="s">
        <v>1529</v>
      </c>
    </row>
    <row r="146" spans="1:66" ht="15" customHeight="1" x14ac:dyDescent="0.25">
      <c r="A146" s="56" t="s">
        <v>550</v>
      </c>
      <c r="B146" s="19" t="s">
        <v>20</v>
      </c>
      <c r="C146" s="56"/>
      <c r="D146" s="34">
        <v>43229</v>
      </c>
      <c r="E146" s="34">
        <v>44325</v>
      </c>
      <c r="F146" s="34">
        <v>43525</v>
      </c>
      <c r="G146" s="19"/>
      <c r="H146" s="36" t="s">
        <v>1101</v>
      </c>
      <c r="I146" s="19" t="s">
        <v>1173</v>
      </c>
      <c r="J146" s="19"/>
      <c r="K146" s="56" t="s">
        <v>551</v>
      </c>
      <c r="L146" s="57" t="s">
        <v>552</v>
      </c>
      <c r="M146" s="56" t="s">
        <v>553</v>
      </c>
      <c r="N146" s="56"/>
      <c r="O146" s="56"/>
      <c r="P146" s="56"/>
      <c r="Q146" s="56"/>
      <c r="R146" s="56"/>
      <c r="S146" s="56"/>
      <c r="T146" s="56"/>
      <c r="U146" s="56"/>
      <c r="V146" s="56">
        <f t="shared" si="43"/>
        <v>0</v>
      </c>
      <c r="W146" s="56"/>
      <c r="X146" s="56"/>
      <c r="Y146" s="56"/>
      <c r="Z146" s="56">
        <v>1</v>
      </c>
      <c r="AA146" s="56"/>
      <c r="AB146" s="56"/>
      <c r="AC146" s="56"/>
      <c r="AD146" s="56"/>
      <c r="AE146" s="56"/>
      <c r="AF146" s="56">
        <f t="shared" si="32"/>
        <v>1</v>
      </c>
      <c r="AG146" s="56">
        <f t="shared" si="33"/>
        <v>0</v>
      </c>
      <c r="AH146" s="56">
        <f t="shared" si="34"/>
        <v>0</v>
      </c>
      <c r="AI146" s="56">
        <f t="shared" si="35"/>
        <v>1</v>
      </c>
      <c r="AJ146" s="56">
        <f t="shared" si="36"/>
        <v>0</v>
      </c>
      <c r="AK146" s="56">
        <f t="shared" si="37"/>
        <v>0</v>
      </c>
      <c r="AL146" s="56">
        <f t="shared" si="38"/>
        <v>0</v>
      </c>
      <c r="AM146" s="56">
        <f t="shared" si="39"/>
        <v>0</v>
      </c>
      <c r="AN146" s="56">
        <f t="shared" si="40"/>
        <v>0</v>
      </c>
      <c r="AO146" s="58">
        <f t="shared" si="41"/>
        <v>1</v>
      </c>
      <c r="AP146" s="69"/>
      <c r="AQ146" s="40">
        <v>0</v>
      </c>
      <c r="AR146" s="40">
        <f t="shared" si="44"/>
        <v>1</v>
      </c>
      <c r="AS146" s="31">
        <v>0</v>
      </c>
      <c r="AT146" s="31">
        <v>0</v>
      </c>
      <c r="AU146" s="31">
        <v>0</v>
      </c>
      <c r="AV146" s="39">
        <v>0</v>
      </c>
      <c r="AW146" s="31"/>
      <c r="AX146" s="31"/>
      <c r="AY146" s="31"/>
      <c r="AZ146" s="31"/>
      <c r="BA146" s="39"/>
      <c r="BB146" s="152">
        <f t="shared" si="42"/>
        <v>1</v>
      </c>
      <c r="BC146" s="43">
        <v>522397</v>
      </c>
      <c r="BD146" s="43">
        <v>177790</v>
      </c>
      <c r="BE146" t="s">
        <v>1414</v>
      </c>
      <c r="BF146"/>
      <c r="BM146" t="s">
        <v>1545</v>
      </c>
      <c r="BN146" t="s">
        <v>1508</v>
      </c>
    </row>
    <row r="147" spans="1:66" ht="15" customHeight="1" x14ac:dyDescent="0.25">
      <c r="A147" s="56" t="s">
        <v>558</v>
      </c>
      <c r="B147" s="19" t="s">
        <v>43</v>
      </c>
      <c r="C147" s="56"/>
      <c r="D147" s="34">
        <v>43301</v>
      </c>
      <c r="E147" s="34">
        <v>44397</v>
      </c>
      <c r="F147" s="19"/>
      <c r="G147" s="37">
        <v>44019</v>
      </c>
      <c r="H147" s="36" t="s">
        <v>1101</v>
      </c>
      <c r="I147" s="19" t="s">
        <v>1173</v>
      </c>
      <c r="J147" s="19"/>
      <c r="K147" s="56" t="s">
        <v>559</v>
      </c>
      <c r="L147" s="57" t="s">
        <v>1236</v>
      </c>
      <c r="M147" s="56" t="s">
        <v>560</v>
      </c>
      <c r="N147" s="56"/>
      <c r="O147" s="56"/>
      <c r="P147" s="56"/>
      <c r="Q147" s="56"/>
      <c r="R147" s="56"/>
      <c r="S147" s="56"/>
      <c r="T147" s="56"/>
      <c r="U147" s="56"/>
      <c r="V147" s="56">
        <f t="shared" si="43"/>
        <v>0</v>
      </c>
      <c r="W147" s="56"/>
      <c r="X147" s="56"/>
      <c r="Y147" s="56">
        <v>1</v>
      </c>
      <c r="Z147" s="56"/>
      <c r="AA147" s="56"/>
      <c r="AB147" s="56"/>
      <c r="AC147" s="56"/>
      <c r="AD147" s="56"/>
      <c r="AE147" s="56"/>
      <c r="AF147" s="56">
        <f t="shared" si="32"/>
        <v>1</v>
      </c>
      <c r="AG147" s="56">
        <f t="shared" si="33"/>
        <v>0</v>
      </c>
      <c r="AH147" s="56">
        <f t="shared" si="34"/>
        <v>1</v>
      </c>
      <c r="AI147" s="56">
        <f t="shared" si="35"/>
        <v>0</v>
      </c>
      <c r="AJ147" s="56">
        <f t="shared" si="36"/>
        <v>0</v>
      </c>
      <c r="AK147" s="56">
        <f t="shared" si="37"/>
        <v>0</v>
      </c>
      <c r="AL147" s="56">
        <f t="shared" si="38"/>
        <v>0</v>
      </c>
      <c r="AM147" s="56">
        <f t="shared" si="39"/>
        <v>0</v>
      </c>
      <c r="AN147" s="56">
        <f t="shared" si="40"/>
        <v>0</v>
      </c>
      <c r="AO147" s="58">
        <f t="shared" si="41"/>
        <v>1</v>
      </c>
      <c r="AP147" s="69"/>
      <c r="AQ147" s="40">
        <v>0</v>
      </c>
      <c r="AR147" s="40">
        <f t="shared" si="44"/>
        <v>1</v>
      </c>
      <c r="AS147" s="31">
        <v>0</v>
      </c>
      <c r="AT147" s="31">
        <v>0</v>
      </c>
      <c r="AU147" s="31">
        <v>0</v>
      </c>
      <c r="AV147" s="39">
        <v>0</v>
      </c>
      <c r="AW147" s="31"/>
      <c r="AX147" s="31"/>
      <c r="AY147" s="31"/>
      <c r="AZ147" s="31"/>
      <c r="BA147" s="39"/>
      <c r="BB147" s="152">
        <f t="shared" si="42"/>
        <v>1</v>
      </c>
      <c r="BC147" s="43">
        <v>515426</v>
      </c>
      <c r="BD147" s="43">
        <v>171451</v>
      </c>
      <c r="BE147" t="s">
        <v>1458</v>
      </c>
      <c r="BF147"/>
    </row>
    <row r="148" spans="1:66" ht="15" customHeight="1" x14ac:dyDescent="0.25">
      <c r="A148" s="56" t="s">
        <v>565</v>
      </c>
      <c r="B148" s="19" t="s">
        <v>48</v>
      </c>
      <c r="C148" s="56"/>
      <c r="D148" s="34">
        <v>43530</v>
      </c>
      <c r="E148" s="34">
        <v>44627</v>
      </c>
      <c r="F148" s="37">
        <v>43710</v>
      </c>
      <c r="G148" s="19"/>
      <c r="H148" s="36" t="s">
        <v>1101</v>
      </c>
      <c r="I148" s="19" t="s">
        <v>1173</v>
      </c>
      <c r="J148" s="19"/>
      <c r="K148" s="56" t="s">
        <v>566</v>
      </c>
      <c r="L148" s="57" t="s">
        <v>567</v>
      </c>
      <c r="M148" s="56" t="s">
        <v>568</v>
      </c>
      <c r="N148" s="56"/>
      <c r="O148" s="56"/>
      <c r="P148" s="56"/>
      <c r="Q148" s="56">
        <v>1</v>
      </c>
      <c r="R148" s="56"/>
      <c r="S148" s="56"/>
      <c r="T148" s="56"/>
      <c r="U148" s="56"/>
      <c r="V148" s="56">
        <f t="shared" si="43"/>
        <v>1</v>
      </c>
      <c r="W148" s="56"/>
      <c r="X148" s="56"/>
      <c r="Y148" s="56">
        <v>1</v>
      </c>
      <c r="Z148" s="56">
        <v>1</v>
      </c>
      <c r="AA148" s="56"/>
      <c r="AB148" s="56"/>
      <c r="AC148" s="56"/>
      <c r="AD148" s="56"/>
      <c r="AE148" s="56"/>
      <c r="AF148" s="56">
        <f t="shared" si="32"/>
        <v>2</v>
      </c>
      <c r="AG148" s="56">
        <f t="shared" si="33"/>
        <v>0</v>
      </c>
      <c r="AH148" s="56">
        <f t="shared" si="34"/>
        <v>1</v>
      </c>
      <c r="AI148" s="56">
        <f t="shared" si="35"/>
        <v>1</v>
      </c>
      <c r="AJ148" s="56">
        <f t="shared" si="36"/>
        <v>-1</v>
      </c>
      <c r="AK148" s="56">
        <f t="shared" si="37"/>
        <v>0</v>
      </c>
      <c r="AL148" s="56">
        <f t="shared" si="38"/>
        <v>0</v>
      </c>
      <c r="AM148" s="56">
        <f t="shared" si="39"/>
        <v>0</v>
      </c>
      <c r="AN148" s="56">
        <f t="shared" si="40"/>
        <v>0</v>
      </c>
      <c r="AO148" s="58">
        <f t="shared" si="41"/>
        <v>1</v>
      </c>
      <c r="AP148" s="69"/>
      <c r="AQ148" s="40">
        <v>0</v>
      </c>
      <c r="AR148" s="40">
        <f t="shared" si="44"/>
        <v>1</v>
      </c>
      <c r="AS148" s="31">
        <v>0</v>
      </c>
      <c r="AT148" s="31">
        <v>0</v>
      </c>
      <c r="AU148" s="31">
        <v>0</v>
      </c>
      <c r="AV148" s="39">
        <v>0</v>
      </c>
      <c r="AW148" s="31"/>
      <c r="AX148" s="31"/>
      <c r="AY148" s="31"/>
      <c r="AZ148" s="31"/>
      <c r="BA148" s="39"/>
      <c r="BB148" s="152">
        <f t="shared" si="42"/>
        <v>1</v>
      </c>
      <c r="BC148" s="43">
        <v>512731</v>
      </c>
      <c r="BD148" s="43">
        <v>171617</v>
      </c>
      <c r="BE148" t="s">
        <v>1416</v>
      </c>
      <c r="BF148"/>
    </row>
    <row r="149" spans="1:66" ht="15" customHeight="1" x14ac:dyDescent="0.25">
      <c r="A149" s="56" t="s">
        <v>579</v>
      </c>
      <c r="B149" s="19" t="s">
        <v>20</v>
      </c>
      <c r="C149" s="56"/>
      <c r="D149" s="34">
        <v>43157</v>
      </c>
      <c r="E149" s="34">
        <v>44253</v>
      </c>
      <c r="F149" s="34">
        <v>43525</v>
      </c>
      <c r="G149" s="37">
        <v>44056</v>
      </c>
      <c r="H149" s="33" t="s">
        <v>1101</v>
      </c>
      <c r="I149" s="19" t="s">
        <v>1173</v>
      </c>
      <c r="J149" s="19"/>
      <c r="K149" s="56" t="s">
        <v>580</v>
      </c>
      <c r="L149" s="57" t="s">
        <v>581</v>
      </c>
      <c r="M149" s="56" t="s">
        <v>582</v>
      </c>
      <c r="N149" s="56"/>
      <c r="O149" s="56"/>
      <c r="P149" s="56"/>
      <c r="Q149" s="56">
        <v>1</v>
      </c>
      <c r="R149" s="56"/>
      <c r="S149" s="56"/>
      <c r="T149" s="56"/>
      <c r="U149" s="56"/>
      <c r="V149" s="56">
        <f t="shared" si="43"/>
        <v>1</v>
      </c>
      <c r="W149" s="56"/>
      <c r="X149" s="56"/>
      <c r="Y149" s="56"/>
      <c r="Z149" s="56"/>
      <c r="AA149" s="56"/>
      <c r="AB149" s="56">
        <v>2</v>
      </c>
      <c r="AC149" s="56"/>
      <c r="AD149" s="56"/>
      <c r="AE149" s="56"/>
      <c r="AF149" s="56">
        <f t="shared" si="32"/>
        <v>2</v>
      </c>
      <c r="AG149" s="56">
        <f t="shared" si="33"/>
        <v>0</v>
      </c>
      <c r="AH149" s="56">
        <f t="shared" si="34"/>
        <v>0</v>
      </c>
      <c r="AI149" s="56">
        <f t="shared" si="35"/>
        <v>0</v>
      </c>
      <c r="AJ149" s="56">
        <f t="shared" si="36"/>
        <v>-1</v>
      </c>
      <c r="AK149" s="56">
        <f t="shared" si="37"/>
        <v>2</v>
      </c>
      <c r="AL149" s="56">
        <f t="shared" si="38"/>
        <v>0</v>
      </c>
      <c r="AM149" s="56">
        <f t="shared" si="39"/>
        <v>0</v>
      </c>
      <c r="AN149" s="56">
        <f t="shared" si="40"/>
        <v>0</v>
      </c>
      <c r="AO149" s="58">
        <f t="shared" si="41"/>
        <v>1</v>
      </c>
      <c r="AP149" s="69"/>
      <c r="AQ149" s="40">
        <v>0</v>
      </c>
      <c r="AR149" s="40">
        <f t="shared" si="44"/>
        <v>1</v>
      </c>
      <c r="AS149" s="31">
        <v>0</v>
      </c>
      <c r="AT149" s="31">
        <v>0</v>
      </c>
      <c r="AU149" s="31">
        <v>0</v>
      </c>
      <c r="AV149" s="39">
        <v>0</v>
      </c>
      <c r="AW149" s="31"/>
      <c r="AX149" s="31"/>
      <c r="AY149" s="31"/>
      <c r="AZ149" s="31"/>
      <c r="BA149" s="39"/>
      <c r="BB149" s="152">
        <f t="shared" si="42"/>
        <v>1</v>
      </c>
      <c r="BC149" s="43">
        <v>519786</v>
      </c>
      <c r="BD149" s="43">
        <v>175060</v>
      </c>
      <c r="BE149" t="s">
        <v>1402</v>
      </c>
      <c r="BF149"/>
    </row>
    <row r="150" spans="1:66" ht="15" customHeight="1" x14ac:dyDescent="0.25">
      <c r="A150" s="56" t="s">
        <v>587</v>
      </c>
      <c r="B150" s="19" t="s">
        <v>20</v>
      </c>
      <c r="C150" s="56"/>
      <c r="D150" s="34">
        <v>43278</v>
      </c>
      <c r="E150" s="34">
        <v>44374</v>
      </c>
      <c r="F150" s="37">
        <v>43631</v>
      </c>
      <c r="G150" s="37">
        <v>44013</v>
      </c>
      <c r="H150" s="59" t="s">
        <v>1101</v>
      </c>
      <c r="I150" s="19" t="s">
        <v>1173</v>
      </c>
      <c r="J150" s="19"/>
      <c r="K150" s="56" t="s">
        <v>588</v>
      </c>
      <c r="L150" s="57" t="s">
        <v>589</v>
      </c>
      <c r="M150" s="56" t="s">
        <v>590</v>
      </c>
      <c r="N150" s="56"/>
      <c r="O150" s="56"/>
      <c r="P150" s="56"/>
      <c r="Q150" s="56"/>
      <c r="R150" s="56"/>
      <c r="S150" s="56"/>
      <c r="T150" s="56"/>
      <c r="U150" s="56"/>
      <c r="V150" s="56">
        <f t="shared" si="43"/>
        <v>0</v>
      </c>
      <c r="W150" s="56"/>
      <c r="X150" s="56"/>
      <c r="Y150" s="56"/>
      <c r="Z150" s="56">
        <v>1</v>
      </c>
      <c r="AA150" s="56"/>
      <c r="AB150" s="56"/>
      <c r="AC150" s="56"/>
      <c r="AD150" s="56"/>
      <c r="AE150" s="56"/>
      <c r="AF150" s="56">
        <f t="shared" si="32"/>
        <v>1</v>
      </c>
      <c r="AG150" s="56">
        <f t="shared" si="33"/>
        <v>0</v>
      </c>
      <c r="AH150" s="56">
        <f t="shared" si="34"/>
        <v>0</v>
      </c>
      <c r="AI150" s="56">
        <f t="shared" si="35"/>
        <v>1</v>
      </c>
      <c r="AJ150" s="56">
        <f t="shared" si="36"/>
        <v>0</v>
      </c>
      <c r="AK150" s="56">
        <f t="shared" si="37"/>
        <v>0</v>
      </c>
      <c r="AL150" s="56">
        <f t="shared" si="38"/>
        <v>0</v>
      </c>
      <c r="AM150" s="56">
        <f t="shared" si="39"/>
        <v>0</v>
      </c>
      <c r="AN150" s="56">
        <f t="shared" si="40"/>
        <v>0</v>
      </c>
      <c r="AO150" s="58">
        <f t="shared" si="41"/>
        <v>1</v>
      </c>
      <c r="AP150" s="69"/>
      <c r="AQ150" s="40">
        <v>0</v>
      </c>
      <c r="AR150" s="40">
        <f t="shared" si="44"/>
        <v>1</v>
      </c>
      <c r="AS150" s="31">
        <v>0</v>
      </c>
      <c r="AT150" s="31">
        <v>0</v>
      </c>
      <c r="AU150" s="31">
        <v>0</v>
      </c>
      <c r="AV150" s="39">
        <v>0</v>
      </c>
      <c r="AW150" s="31"/>
      <c r="AX150" s="31"/>
      <c r="AY150" s="31"/>
      <c r="AZ150" s="31"/>
      <c r="BA150" s="39"/>
      <c r="BB150" s="152">
        <f t="shared" si="42"/>
        <v>1</v>
      </c>
      <c r="BC150" s="43">
        <v>513875</v>
      </c>
      <c r="BD150" s="43">
        <v>172459</v>
      </c>
      <c r="BE150" t="s">
        <v>1427</v>
      </c>
      <c r="BF150"/>
    </row>
    <row r="151" spans="1:66" ht="15" customHeight="1" x14ac:dyDescent="0.25">
      <c r="A151" s="56" t="s">
        <v>591</v>
      </c>
      <c r="B151" s="19" t="s">
        <v>38</v>
      </c>
      <c r="C151" s="56"/>
      <c r="D151" s="34">
        <v>43439</v>
      </c>
      <c r="E151" s="34">
        <v>44535</v>
      </c>
      <c r="F151" s="34">
        <v>43780</v>
      </c>
      <c r="G151" s="19"/>
      <c r="H151" s="36" t="s">
        <v>1101</v>
      </c>
      <c r="I151" s="19" t="s">
        <v>1173</v>
      </c>
      <c r="J151" s="19"/>
      <c r="K151" s="56" t="s">
        <v>592</v>
      </c>
      <c r="L151" s="57" t="s">
        <v>593</v>
      </c>
      <c r="M151" s="56" t="s">
        <v>376</v>
      </c>
      <c r="N151" s="56"/>
      <c r="O151" s="56"/>
      <c r="P151" s="56"/>
      <c r="Q151" s="56">
        <v>1</v>
      </c>
      <c r="R151" s="56"/>
      <c r="S151" s="56"/>
      <c r="T151" s="56"/>
      <c r="U151" s="56"/>
      <c r="V151" s="56">
        <f t="shared" si="43"/>
        <v>1</v>
      </c>
      <c r="W151" s="56"/>
      <c r="X151" s="56">
        <v>1</v>
      </c>
      <c r="Y151" s="56"/>
      <c r="Z151" s="56">
        <v>1</v>
      </c>
      <c r="AA151" s="56"/>
      <c r="AB151" s="56"/>
      <c r="AC151" s="56"/>
      <c r="AD151" s="56"/>
      <c r="AE151" s="56"/>
      <c r="AF151" s="56">
        <f t="shared" si="32"/>
        <v>2</v>
      </c>
      <c r="AG151" s="56">
        <f t="shared" si="33"/>
        <v>1</v>
      </c>
      <c r="AH151" s="56">
        <f t="shared" si="34"/>
        <v>0</v>
      </c>
      <c r="AI151" s="56">
        <f t="shared" si="35"/>
        <v>1</v>
      </c>
      <c r="AJ151" s="56">
        <f t="shared" si="36"/>
        <v>-1</v>
      </c>
      <c r="AK151" s="56">
        <f t="shared" si="37"/>
        <v>0</v>
      </c>
      <c r="AL151" s="56">
        <f t="shared" si="38"/>
        <v>0</v>
      </c>
      <c r="AM151" s="56">
        <f t="shared" si="39"/>
        <v>0</v>
      </c>
      <c r="AN151" s="56">
        <f t="shared" si="40"/>
        <v>0</v>
      </c>
      <c r="AO151" s="58">
        <f t="shared" si="41"/>
        <v>1</v>
      </c>
      <c r="AP151" s="69"/>
      <c r="AQ151" s="40">
        <v>0</v>
      </c>
      <c r="AR151" s="40">
        <f t="shared" si="44"/>
        <v>1</v>
      </c>
      <c r="AS151" s="31">
        <v>0</v>
      </c>
      <c r="AT151" s="31">
        <v>0</v>
      </c>
      <c r="AU151" s="31">
        <v>0</v>
      </c>
      <c r="AV151" s="39">
        <v>0</v>
      </c>
      <c r="AW151" s="31"/>
      <c r="AX151" s="31"/>
      <c r="AY151" s="31"/>
      <c r="AZ151" s="31"/>
      <c r="BA151" s="39"/>
      <c r="BB151" s="152">
        <f t="shared" si="42"/>
        <v>1</v>
      </c>
      <c r="BC151" s="43">
        <v>520283</v>
      </c>
      <c r="BD151" s="43">
        <v>175305</v>
      </c>
      <c r="BE151" t="s">
        <v>1402</v>
      </c>
      <c r="BF151"/>
      <c r="BG151" t="s">
        <v>1402</v>
      </c>
    </row>
    <row r="152" spans="1:66" ht="15" customHeight="1" x14ac:dyDescent="0.25">
      <c r="A152" s="56" t="s">
        <v>598</v>
      </c>
      <c r="B152" s="19" t="s">
        <v>20</v>
      </c>
      <c r="C152" s="56"/>
      <c r="D152" s="34">
        <v>43193</v>
      </c>
      <c r="E152" s="34">
        <v>44289</v>
      </c>
      <c r="F152" s="34">
        <v>43525</v>
      </c>
      <c r="G152" s="19"/>
      <c r="H152" s="36" t="s">
        <v>1101</v>
      </c>
      <c r="I152" s="19" t="s">
        <v>1173</v>
      </c>
      <c r="J152" s="19"/>
      <c r="K152" s="56" t="s">
        <v>599</v>
      </c>
      <c r="L152" s="57" t="s">
        <v>600</v>
      </c>
      <c r="M152" s="56" t="s">
        <v>601</v>
      </c>
      <c r="N152" s="56"/>
      <c r="O152" s="56"/>
      <c r="P152" s="56">
        <v>2</v>
      </c>
      <c r="Q152" s="56"/>
      <c r="R152" s="56"/>
      <c r="S152" s="56"/>
      <c r="T152" s="56"/>
      <c r="U152" s="56"/>
      <c r="V152" s="56">
        <f t="shared" si="43"/>
        <v>2</v>
      </c>
      <c r="W152" s="56"/>
      <c r="X152" s="56"/>
      <c r="Y152" s="56"/>
      <c r="Z152" s="56"/>
      <c r="AA152" s="56">
        <v>2</v>
      </c>
      <c r="AB152" s="56"/>
      <c r="AC152" s="56"/>
      <c r="AD152" s="56"/>
      <c r="AE152" s="56"/>
      <c r="AF152" s="56">
        <f t="shared" si="32"/>
        <v>2</v>
      </c>
      <c r="AG152" s="56">
        <f t="shared" si="33"/>
        <v>0</v>
      </c>
      <c r="AH152" s="56">
        <f t="shared" si="34"/>
        <v>0</v>
      </c>
      <c r="AI152" s="56">
        <f t="shared" si="35"/>
        <v>-2</v>
      </c>
      <c r="AJ152" s="56">
        <f t="shared" si="36"/>
        <v>2</v>
      </c>
      <c r="AK152" s="56">
        <f t="shared" si="37"/>
        <v>0</v>
      </c>
      <c r="AL152" s="56">
        <f t="shared" si="38"/>
        <v>0</v>
      </c>
      <c r="AM152" s="56">
        <f t="shared" si="39"/>
        <v>0</v>
      </c>
      <c r="AN152" s="56">
        <f t="shared" si="40"/>
        <v>0</v>
      </c>
      <c r="AO152" s="58">
        <f t="shared" si="41"/>
        <v>0</v>
      </c>
      <c r="AP152" s="69"/>
      <c r="AQ152" s="40">
        <v>0</v>
      </c>
      <c r="AR152" s="40">
        <f t="shared" si="44"/>
        <v>0</v>
      </c>
      <c r="AS152" s="31">
        <v>0</v>
      </c>
      <c r="AT152" s="31">
        <v>0</v>
      </c>
      <c r="AU152" s="31">
        <v>0</v>
      </c>
      <c r="AV152" s="39">
        <v>0</v>
      </c>
      <c r="AW152" s="31"/>
      <c r="AX152" s="31"/>
      <c r="AY152" s="31"/>
      <c r="AZ152" s="31"/>
      <c r="BA152" s="39"/>
      <c r="BB152" s="152">
        <f t="shared" si="42"/>
        <v>0</v>
      </c>
      <c r="BC152" s="43">
        <v>522357</v>
      </c>
      <c r="BD152" s="43">
        <v>175528</v>
      </c>
      <c r="BE152" t="s">
        <v>1459</v>
      </c>
      <c r="BF152"/>
    </row>
    <row r="153" spans="1:66" ht="15" customHeight="1" x14ac:dyDescent="0.25">
      <c r="A153" s="56" t="s">
        <v>618</v>
      </c>
      <c r="B153" s="19" t="s">
        <v>38</v>
      </c>
      <c r="C153" s="56"/>
      <c r="D153" s="34">
        <v>43350</v>
      </c>
      <c r="E153" s="34">
        <v>44446</v>
      </c>
      <c r="F153" s="34">
        <v>43405</v>
      </c>
      <c r="G153" s="19"/>
      <c r="H153" s="59" t="s">
        <v>1101</v>
      </c>
      <c r="I153" s="19" t="s">
        <v>1173</v>
      </c>
      <c r="J153" s="19"/>
      <c r="K153" s="56" t="s">
        <v>619</v>
      </c>
      <c r="L153" s="57" t="s">
        <v>620</v>
      </c>
      <c r="M153" s="56" t="s">
        <v>621</v>
      </c>
      <c r="N153" s="56"/>
      <c r="O153" s="56">
        <v>1</v>
      </c>
      <c r="P153" s="56"/>
      <c r="Q153" s="56"/>
      <c r="R153" s="56"/>
      <c r="S153" s="56"/>
      <c r="T153" s="56"/>
      <c r="U153" s="56"/>
      <c r="V153" s="56">
        <f t="shared" si="43"/>
        <v>1</v>
      </c>
      <c r="W153" s="56"/>
      <c r="X153" s="56">
        <v>2</v>
      </c>
      <c r="Y153" s="56"/>
      <c r="Z153" s="56"/>
      <c r="AA153" s="56"/>
      <c r="AB153" s="56"/>
      <c r="AC153" s="56"/>
      <c r="AD153" s="56"/>
      <c r="AE153" s="56"/>
      <c r="AF153" s="56">
        <f t="shared" si="32"/>
        <v>2</v>
      </c>
      <c r="AG153" s="56">
        <f t="shared" si="33"/>
        <v>2</v>
      </c>
      <c r="AH153" s="56">
        <f t="shared" si="34"/>
        <v>-1</v>
      </c>
      <c r="AI153" s="56">
        <f t="shared" si="35"/>
        <v>0</v>
      </c>
      <c r="AJ153" s="56">
        <f t="shared" si="36"/>
        <v>0</v>
      </c>
      <c r="AK153" s="56">
        <f t="shared" si="37"/>
        <v>0</v>
      </c>
      <c r="AL153" s="56">
        <f t="shared" si="38"/>
        <v>0</v>
      </c>
      <c r="AM153" s="56">
        <f t="shared" si="39"/>
        <v>0</v>
      </c>
      <c r="AN153" s="56">
        <f t="shared" si="40"/>
        <v>0</v>
      </c>
      <c r="AO153" s="58">
        <f t="shared" si="41"/>
        <v>1</v>
      </c>
      <c r="AP153" s="69"/>
      <c r="AQ153" s="40">
        <v>0</v>
      </c>
      <c r="AR153" s="40">
        <f t="shared" si="44"/>
        <v>1</v>
      </c>
      <c r="AS153" s="31">
        <v>0</v>
      </c>
      <c r="AT153" s="31">
        <v>0</v>
      </c>
      <c r="AU153" s="31">
        <v>0</v>
      </c>
      <c r="AV153" s="39">
        <v>0</v>
      </c>
      <c r="AW153" s="31"/>
      <c r="AX153" s="31"/>
      <c r="AY153" s="31"/>
      <c r="AZ153" s="31"/>
      <c r="BA153" s="39"/>
      <c r="BB153" s="152">
        <f t="shared" si="42"/>
        <v>1</v>
      </c>
      <c r="BC153" s="43">
        <v>515991</v>
      </c>
      <c r="BD153" s="43">
        <v>168830</v>
      </c>
      <c r="BE153" t="s">
        <v>1417</v>
      </c>
      <c r="BF153"/>
      <c r="BM153" t="s">
        <v>1545</v>
      </c>
      <c r="BN153" t="s">
        <v>1530</v>
      </c>
    </row>
    <row r="154" spans="1:66" ht="15" customHeight="1" x14ac:dyDescent="0.25">
      <c r="A154" s="56" t="s">
        <v>630</v>
      </c>
      <c r="B154" s="19" t="s">
        <v>20</v>
      </c>
      <c r="C154" s="56"/>
      <c r="D154" s="34">
        <v>43329</v>
      </c>
      <c r="E154" s="34">
        <v>44425</v>
      </c>
      <c r="F154" s="34">
        <v>43689</v>
      </c>
      <c r="G154" s="19"/>
      <c r="H154" s="59" t="s">
        <v>1101</v>
      </c>
      <c r="I154" s="19" t="s">
        <v>1173</v>
      </c>
      <c r="J154" s="19"/>
      <c r="K154" s="56" t="s">
        <v>631</v>
      </c>
      <c r="L154" s="57" t="s">
        <v>632</v>
      </c>
      <c r="M154" s="56" t="s">
        <v>633</v>
      </c>
      <c r="N154" s="56"/>
      <c r="O154" s="56"/>
      <c r="P154" s="56"/>
      <c r="Q154" s="56"/>
      <c r="R154" s="56"/>
      <c r="S154" s="56"/>
      <c r="T154" s="56"/>
      <c r="U154" s="56"/>
      <c r="V154" s="56">
        <f t="shared" si="43"/>
        <v>0</v>
      </c>
      <c r="W154" s="56"/>
      <c r="X154" s="56"/>
      <c r="Y154" s="56"/>
      <c r="Z154" s="56"/>
      <c r="AA154" s="56">
        <v>1</v>
      </c>
      <c r="AB154" s="56"/>
      <c r="AC154" s="56"/>
      <c r="AD154" s="56"/>
      <c r="AE154" s="56"/>
      <c r="AF154" s="56">
        <f t="shared" si="32"/>
        <v>1</v>
      </c>
      <c r="AG154" s="56">
        <f t="shared" si="33"/>
        <v>0</v>
      </c>
      <c r="AH154" s="56">
        <f t="shared" si="34"/>
        <v>0</v>
      </c>
      <c r="AI154" s="56">
        <f t="shared" si="35"/>
        <v>0</v>
      </c>
      <c r="AJ154" s="56">
        <f t="shared" si="36"/>
        <v>1</v>
      </c>
      <c r="AK154" s="56">
        <f t="shared" si="37"/>
        <v>0</v>
      </c>
      <c r="AL154" s="56">
        <f t="shared" si="38"/>
        <v>0</v>
      </c>
      <c r="AM154" s="56">
        <f t="shared" si="39"/>
        <v>0</v>
      </c>
      <c r="AN154" s="56">
        <f t="shared" si="40"/>
        <v>0</v>
      </c>
      <c r="AO154" s="58">
        <f t="shared" si="41"/>
        <v>1</v>
      </c>
      <c r="AP154" s="69"/>
      <c r="AQ154" s="40">
        <v>0</v>
      </c>
      <c r="AR154" s="40">
        <f t="shared" si="44"/>
        <v>1</v>
      </c>
      <c r="AS154" s="31">
        <v>0</v>
      </c>
      <c r="AT154" s="31">
        <v>0</v>
      </c>
      <c r="AU154" s="31">
        <v>0</v>
      </c>
      <c r="AV154" s="39">
        <v>0</v>
      </c>
      <c r="AW154" s="31"/>
      <c r="AX154" s="31"/>
      <c r="AY154" s="31"/>
      <c r="AZ154" s="31"/>
      <c r="BA154" s="39"/>
      <c r="BB154" s="152">
        <f t="shared" si="42"/>
        <v>1</v>
      </c>
      <c r="BC154" s="43">
        <v>513446</v>
      </c>
      <c r="BD154" s="43">
        <v>170353</v>
      </c>
      <c r="BE154" t="s">
        <v>1417</v>
      </c>
      <c r="BF154" t="s">
        <v>1410</v>
      </c>
    </row>
    <row r="155" spans="1:66" ht="15" customHeight="1" x14ac:dyDescent="0.25">
      <c r="A155" s="56" t="s">
        <v>648</v>
      </c>
      <c r="B155" s="19" t="s">
        <v>20</v>
      </c>
      <c r="C155" s="56"/>
      <c r="D155" s="34">
        <v>43272</v>
      </c>
      <c r="E155" s="34">
        <v>44368</v>
      </c>
      <c r="F155" s="34">
        <v>43435</v>
      </c>
      <c r="G155" s="19"/>
      <c r="H155" s="33" t="s">
        <v>1101</v>
      </c>
      <c r="I155" s="19" t="s">
        <v>1173</v>
      </c>
      <c r="J155" s="19"/>
      <c r="K155" s="56" t="s">
        <v>649</v>
      </c>
      <c r="L155" s="57" t="s">
        <v>650</v>
      </c>
      <c r="M155" s="56" t="s">
        <v>651</v>
      </c>
      <c r="N155" s="56"/>
      <c r="O155" s="56"/>
      <c r="P155" s="56"/>
      <c r="Q155" s="56"/>
      <c r="R155" s="56"/>
      <c r="S155" s="56"/>
      <c r="T155" s="56"/>
      <c r="U155" s="56"/>
      <c r="V155" s="56">
        <f t="shared" si="43"/>
        <v>0</v>
      </c>
      <c r="W155" s="56"/>
      <c r="X155" s="56">
        <v>1</v>
      </c>
      <c r="Y155" s="56"/>
      <c r="Z155" s="56"/>
      <c r="AA155" s="56"/>
      <c r="AB155" s="56"/>
      <c r="AC155" s="56"/>
      <c r="AD155" s="56"/>
      <c r="AE155" s="56"/>
      <c r="AF155" s="56">
        <f t="shared" si="32"/>
        <v>1</v>
      </c>
      <c r="AG155" s="56">
        <f t="shared" si="33"/>
        <v>1</v>
      </c>
      <c r="AH155" s="56">
        <f t="shared" si="34"/>
        <v>0</v>
      </c>
      <c r="AI155" s="56">
        <f t="shared" si="35"/>
        <v>0</v>
      </c>
      <c r="AJ155" s="56">
        <f t="shared" si="36"/>
        <v>0</v>
      </c>
      <c r="AK155" s="56">
        <f t="shared" si="37"/>
        <v>0</v>
      </c>
      <c r="AL155" s="56">
        <f t="shared" si="38"/>
        <v>0</v>
      </c>
      <c r="AM155" s="56">
        <f t="shared" si="39"/>
        <v>0</v>
      </c>
      <c r="AN155" s="56">
        <f t="shared" si="40"/>
        <v>0</v>
      </c>
      <c r="AO155" s="58">
        <f t="shared" si="41"/>
        <v>1</v>
      </c>
      <c r="AP155" s="69"/>
      <c r="AQ155" s="40">
        <v>0</v>
      </c>
      <c r="AR155" s="40">
        <f t="shared" si="44"/>
        <v>1</v>
      </c>
      <c r="AS155" s="31">
        <v>0</v>
      </c>
      <c r="AT155" s="31">
        <v>0</v>
      </c>
      <c r="AU155" s="31">
        <v>0</v>
      </c>
      <c r="AV155" s="39">
        <v>0</v>
      </c>
      <c r="AW155" s="31"/>
      <c r="AX155" s="31"/>
      <c r="AY155" s="31"/>
      <c r="AZ155" s="31"/>
      <c r="BA155" s="39"/>
      <c r="BB155" s="152">
        <f t="shared" si="42"/>
        <v>1</v>
      </c>
      <c r="BC155" s="43">
        <v>513452</v>
      </c>
      <c r="BD155" s="43">
        <v>171614</v>
      </c>
      <c r="BE155" t="s">
        <v>1416</v>
      </c>
      <c r="BF155"/>
    </row>
    <row r="156" spans="1:66" ht="15" customHeight="1" x14ac:dyDescent="0.25">
      <c r="A156" s="56" t="s">
        <v>662</v>
      </c>
      <c r="B156" s="19" t="s">
        <v>48</v>
      </c>
      <c r="C156" s="56"/>
      <c r="D156" s="34">
        <v>43411</v>
      </c>
      <c r="E156" s="34">
        <v>44507</v>
      </c>
      <c r="F156" s="34">
        <v>43437</v>
      </c>
      <c r="G156" s="37">
        <v>43994</v>
      </c>
      <c r="H156" s="36" t="s">
        <v>1101</v>
      </c>
      <c r="I156" s="19" t="s">
        <v>1173</v>
      </c>
      <c r="J156" s="19"/>
      <c r="K156" s="56" t="s">
        <v>663</v>
      </c>
      <c r="L156" s="57" t="s">
        <v>664</v>
      </c>
      <c r="M156" s="56" t="s">
        <v>224</v>
      </c>
      <c r="N156" s="56">
        <v>3</v>
      </c>
      <c r="O156" s="56"/>
      <c r="P156" s="56"/>
      <c r="Q156" s="56"/>
      <c r="R156" s="56"/>
      <c r="S156" s="56"/>
      <c r="T156" s="56"/>
      <c r="U156" s="56"/>
      <c r="V156" s="56">
        <f t="shared" si="43"/>
        <v>3</v>
      </c>
      <c r="W156" s="56"/>
      <c r="X156" s="56"/>
      <c r="Y156" s="56">
        <v>3</v>
      </c>
      <c r="Z156" s="56"/>
      <c r="AA156" s="56"/>
      <c r="AB156" s="56"/>
      <c r="AC156" s="56"/>
      <c r="AD156" s="56"/>
      <c r="AE156" s="56"/>
      <c r="AF156" s="56">
        <f t="shared" si="32"/>
        <v>3</v>
      </c>
      <c r="AG156" s="56">
        <f t="shared" si="33"/>
        <v>-3</v>
      </c>
      <c r="AH156" s="56">
        <f t="shared" si="34"/>
        <v>3</v>
      </c>
      <c r="AI156" s="56">
        <f t="shared" si="35"/>
        <v>0</v>
      </c>
      <c r="AJ156" s="56">
        <f t="shared" si="36"/>
        <v>0</v>
      </c>
      <c r="AK156" s="56">
        <f t="shared" si="37"/>
        <v>0</v>
      </c>
      <c r="AL156" s="56">
        <f t="shared" si="38"/>
        <v>0</v>
      </c>
      <c r="AM156" s="56">
        <f t="shared" si="39"/>
        <v>0</v>
      </c>
      <c r="AN156" s="56">
        <f t="shared" si="40"/>
        <v>0</v>
      </c>
      <c r="AO156" s="58">
        <f t="shared" si="41"/>
        <v>0</v>
      </c>
      <c r="AP156" s="69"/>
      <c r="AQ156" s="40">
        <v>0</v>
      </c>
      <c r="AR156" s="40">
        <f t="shared" si="44"/>
        <v>0</v>
      </c>
      <c r="AS156" s="31">
        <v>0</v>
      </c>
      <c r="AT156" s="31">
        <v>0</v>
      </c>
      <c r="AU156" s="31">
        <v>0</v>
      </c>
      <c r="AV156" s="39">
        <v>0</v>
      </c>
      <c r="AW156" s="31"/>
      <c r="AX156" s="31"/>
      <c r="AY156" s="31"/>
      <c r="AZ156" s="31"/>
      <c r="BA156" s="39"/>
      <c r="BB156" s="152">
        <f t="shared" si="42"/>
        <v>0</v>
      </c>
      <c r="BC156" s="43">
        <v>514485</v>
      </c>
      <c r="BD156" s="43">
        <v>171271</v>
      </c>
      <c r="BE156" t="s">
        <v>1458</v>
      </c>
      <c r="BF156"/>
      <c r="BI156" t="s">
        <v>1551</v>
      </c>
      <c r="BJ156" t="s">
        <v>1503</v>
      </c>
    </row>
    <row r="157" spans="1:66" ht="15" customHeight="1" x14ac:dyDescent="0.25">
      <c r="A157" s="56" t="s">
        <v>665</v>
      </c>
      <c r="B157" s="19" t="s">
        <v>31</v>
      </c>
      <c r="C157" s="56"/>
      <c r="D157" s="34">
        <v>43255</v>
      </c>
      <c r="E157" s="34">
        <v>44351</v>
      </c>
      <c r="F157" s="37">
        <v>43843</v>
      </c>
      <c r="G157" s="19"/>
      <c r="H157" s="36" t="s">
        <v>1101</v>
      </c>
      <c r="I157" s="19" t="s">
        <v>1173</v>
      </c>
      <c r="J157" s="19"/>
      <c r="K157" s="56" t="s">
        <v>666</v>
      </c>
      <c r="L157" s="57" t="s">
        <v>667</v>
      </c>
      <c r="M157" s="56" t="s">
        <v>397</v>
      </c>
      <c r="N157" s="56"/>
      <c r="O157" s="56">
        <v>1</v>
      </c>
      <c r="P157" s="56"/>
      <c r="Q157" s="56"/>
      <c r="R157" s="56"/>
      <c r="S157" s="56"/>
      <c r="T157" s="56"/>
      <c r="U157" s="56"/>
      <c r="V157" s="56">
        <f t="shared" si="43"/>
        <v>1</v>
      </c>
      <c r="W157" s="56"/>
      <c r="X157" s="56">
        <v>2</v>
      </c>
      <c r="Y157" s="56"/>
      <c r="Z157" s="56"/>
      <c r="AA157" s="56"/>
      <c r="AB157" s="56"/>
      <c r="AC157" s="56"/>
      <c r="AD157" s="56"/>
      <c r="AE157" s="56"/>
      <c r="AF157" s="56">
        <f t="shared" si="32"/>
        <v>2</v>
      </c>
      <c r="AG157" s="56">
        <f t="shared" si="33"/>
        <v>2</v>
      </c>
      <c r="AH157" s="56">
        <f t="shared" si="34"/>
        <v>-1</v>
      </c>
      <c r="AI157" s="56">
        <f t="shared" si="35"/>
        <v>0</v>
      </c>
      <c r="AJ157" s="56">
        <f t="shared" si="36"/>
        <v>0</v>
      </c>
      <c r="AK157" s="56">
        <f t="shared" si="37"/>
        <v>0</v>
      </c>
      <c r="AL157" s="56">
        <f t="shared" si="38"/>
        <v>0</v>
      </c>
      <c r="AM157" s="56">
        <f t="shared" si="39"/>
        <v>0</v>
      </c>
      <c r="AN157" s="56">
        <f t="shared" si="40"/>
        <v>0</v>
      </c>
      <c r="AO157" s="58">
        <f t="shared" si="41"/>
        <v>1</v>
      </c>
      <c r="AP157" s="69"/>
      <c r="AQ157" s="40">
        <v>0</v>
      </c>
      <c r="AR157" s="40">
        <f t="shared" si="44"/>
        <v>1</v>
      </c>
      <c r="AS157" s="31">
        <v>0</v>
      </c>
      <c r="AT157" s="31">
        <v>0</v>
      </c>
      <c r="AU157" s="31">
        <v>0</v>
      </c>
      <c r="AV157" s="39">
        <v>0</v>
      </c>
      <c r="AW157" s="31"/>
      <c r="AX157" s="31"/>
      <c r="AY157" s="31"/>
      <c r="AZ157" s="31"/>
      <c r="BA157" s="39"/>
      <c r="BB157" s="152">
        <f t="shared" si="42"/>
        <v>1</v>
      </c>
      <c r="BC157" s="43">
        <v>519061</v>
      </c>
      <c r="BD157" s="43">
        <v>176659</v>
      </c>
      <c r="BE157" t="s">
        <v>1420</v>
      </c>
      <c r="BF157"/>
      <c r="BM157" t="s">
        <v>1545</v>
      </c>
      <c r="BN157" t="s">
        <v>1510</v>
      </c>
    </row>
    <row r="158" spans="1:66" ht="15" customHeight="1" x14ac:dyDescent="0.25">
      <c r="A158" s="56" t="s">
        <v>708</v>
      </c>
      <c r="B158" s="19" t="s">
        <v>43</v>
      </c>
      <c r="C158" s="56"/>
      <c r="D158" s="34">
        <v>43613</v>
      </c>
      <c r="E158" s="34">
        <v>44709</v>
      </c>
      <c r="F158" s="37">
        <v>43684</v>
      </c>
      <c r="G158" s="37">
        <v>43963</v>
      </c>
      <c r="H158" s="36" t="s">
        <v>1101</v>
      </c>
      <c r="I158" s="19" t="s">
        <v>1173</v>
      </c>
      <c r="J158" s="19"/>
      <c r="K158" s="56" t="s">
        <v>709</v>
      </c>
      <c r="L158" s="57" t="s">
        <v>710</v>
      </c>
      <c r="M158" s="56" t="s">
        <v>711</v>
      </c>
      <c r="N158" s="56"/>
      <c r="O158" s="56"/>
      <c r="P158" s="56"/>
      <c r="Q158" s="56"/>
      <c r="R158" s="56"/>
      <c r="S158" s="56"/>
      <c r="T158" s="56"/>
      <c r="U158" s="56"/>
      <c r="V158" s="56">
        <f t="shared" si="43"/>
        <v>0</v>
      </c>
      <c r="W158" s="56"/>
      <c r="X158" s="56">
        <v>1</v>
      </c>
      <c r="Y158" s="56"/>
      <c r="Z158" s="56"/>
      <c r="AA158" s="56"/>
      <c r="AB158" s="56"/>
      <c r="AC158" s="56"/>
      <c r="AD158" s="56"/>
      <c r="AE158" s="56"/>
      <c r="AF158" s="56">
        <f t="shared" si="32"/>
        <v>1</v>
      </c>
      <c r="AG158" s="56">
        <f t="shared" si="33"/>
        <v>1</v>
      </c>
      <c r="AH158" s="56">
        <f t="shared" si="34"/>
        <v>0</v>
      </c>
      <c r="AI158" s="56">
        <f t="shared" si="35"/>
        <v>0</v>
      </c>
      <c r="AJ158" s="56">
        <f t="shared" si="36"/>
        <v>0</v>
      </c>
      <c r="AK158" s="56">
        <f t="shared" si="37"/>
        <v>0</v>
      </c>
      <c r="AL158" s="56">
        <f t="shared" si="38"/>
        <v>0</v>
      </c>
      <c r="AM158" s="56">
        <f t="shared" si="39"/>
        <v>0</v>
      </c>
      <c r="AN158" s="56">
        <f t="shared" si="40"/>
        <v>0</v>
      </c>
      <c r="AO158" s="58">
        <f t="shared" si="41"/>
        <v>1</v>
      </c>
      <c r="AP158" s="69"/>
      <c r="AQ158" s="40">
        <v>0</v>
      </c>
      <c r="AR158" s="40">
        <f t="shared" si="44"/>
        <v>1</v>
      </c>
      <c r="AS158" s="31">
        <v>0</v>
      </c>
      <c r="AT158" s="31">
        <v>0</v>
      </c>
      <c r="AU158" s="31">
        <v>0</v>
      </c>
      <c r="AV158" s="39">
        <v>0</v>
      </c>
      <c r="AW158" s="31"/>
      <c r="AX158" s="31"/>
      <c r="AY158" s="31"/>
      <c r="AZ158" s="31"/>
      <c r="BA158" s="39"/>
      <c r="BB158" s="152">
        <f t="shared" si="42"/>
        <v>1</v>
      </c>
      <c r="BC158" s="43">
        <v>520508</v>
      </c>
      <c r="BD158" s="43">
        <v>175448</v>
      </c>
      <c r="BE158" t="s">
        <v>1402</v>
      </c>
      <c r="BF158"/>
      <c r="BG158" t="s">
        <v>1402</v>
      </c>
      <c r="BM158" t="s">
        <v>1545</v>
      </c>
      <c r="BN158" t="s">
        <v>1495</v>
      </c>
    </row>
    <row r="159" spans="1:66" ht="15" customHeight="1" x14ac:dyDescent="0.25">
      <c r="A159" s="56" t="s">
        <v>720</v>
      </c>
      <c r="B159" s="19" t="s">
        <v>31</v>
      </c>
      <c r="C159" s="56"/>
      <c r="D159" s="34">
        <v>43476</v>
      </c>
      <c r="E159" s="34">
        <v>44572</v>
      </c>
      <c r="F159" s="34">
        <v>43525</v>
      </c>
      <c r="G159" s="37">
        <v>43962</v>
      </c>
      <c r="H159" s="36" t="s">
        <v>1101</v>
      </c>
      <c r="I159" s="19" t="s">
        <v>1173</v>
      </c>
      <c r="J159" s="19"/>
      <c r="K159" s="56" t="s">
        <v>721</v>
      </c>
      <c r="L159" s="57" t="s">
        <v>722</v>
      </c>
      <c r="M159" s="56" t="s">
        <v>321</v>
      </c>
      <c r="N159" s="56"/>
      <c r="O159" s="56"/>
      <c r="P159" s="56"/>
      <c r="Q159" s="56"/>
      <c r="R159" s="56"/>
      <c r="S159" s="56"/>
      <c r="T159" s="56"/>
      <c r="U159" s="56"/>
      <c r="V159" s="56">
        <f t="shared" si="43"/>
        <v>0</v>
      </c>
      <c r="W159" s="56"/>
      <c r="X159" s="56"/>
      <c r="Y159" s="56">
        <v>2</v>
      </c>
      <c r="Z159" s="56"/>
      <c r="AA159" s="56"/>
      <c r="AB159" s="56"/>
      <c r="AC159" s="56"/>
      <c r="AD159" s="56"/>
      <c r="AE159" s="56"/>
      <c r="AF159" s="56">
        <f t="shared" si="32"/>
        <v>2</v>
      </c>
      <c r="AG159" s="56">
        <f t="shared" si="33"/>
        <v>0</v>
      </c>
      <c r="AH159" s="56">
        <f t="shared" si="34"/>
        <v>2</v>
      </c>
      <c r="AI159" s="56">
        <f t="shared" si="35"/>
        <v>0</v>
      </c>
      <c r="AJ159" s="56">
        <f t="shared" si="36"/>
        <v>0</v>
      </c>
      <c r="AK159" s="56">
        <f t="shared" si="37"/>
        <v>0</v>
      </c>
      <c r="AL159" s="56">
        <f t="shared" si="38"/>
        <v>0</v>
      </c>
      <c r="AM159" s="56">
        <f t="shared" si="39"/>
        <v>0</v>
      </c>
      <c r="AN159" s="56">
        <f t="shared" si="40"/>
        <v>0</v>
      </c>
      <c r="AO159" s="58">
        <f t="shared" si="41"/>
        <v>2</v>
      </c>
      <c r="AP159" s="69"/>
      <c r="AQ159" s="40">
        <v>0</v>
      </c>
      <c r="AR159" s="40">
        <f t="shared" si="44"/>
        <v>2</v>
      </c>
      <c r="AS159" s="31">
        <v>0</v>
      </c>
      <c r="AT159" s="31">
        <v>0</v>
      </c>
      <c r="AU159" s="31">
        <v>0</v>
      </c>
      <c r="AV159" s="39">
        <v>0</v>
      </c>
      <c r="AW159" s="31"/>
      <c r="AX159" s="31"/>
      <c r="AY159" s="31"/>
      <c r="AZ159" s="31"/>
      <c r="BA159" s="39"/>
      <c r="BB159" s="152">
        <f t="shared" si="42"/>
        <v>2</v>
      </c>
      <c r="BC159" s="43">
        <v>514273</v>
      </c>
      <c r="BD159" s="43">
        <v>170844</v>
      </c>
      <c r="BE159" t="s">
        <v>1458</v>
      </c>
      <c r="BF159"/>
      <c r="BI159" t="s">
        <v>1551</v>
      </c>
      <c r="BJ159" t="s">
        <v>1503</v>
      </c>
      <c r="BM159" t="s">
        <v>1545</v>
      </c>
      <c r="BN159" t="s">
        <v>1504</v>
      </c>
    </row>
    <row r="160" spans="1:66" ht="15" customHeight="1" x14ac:dyDescent="0.25">
      <c r="A160" s="56" t="s">
        <v>723</v>
      </c>
      <c r="B160" s="19" t="s">
        <v>20</v>
      </c>
      <c r="C160" s="56"/>
      <c r="D160" s="34">
        <v>43423</v>
      </c>
      <c r="E160" s="34">
        <v>44519</v>
      </c>
      <c r="F160" s="34">
        <v>43754</v>
      </c>
      <c r="G160" s="19"/>
      <c r="H160" s="36" t="s">
        <v>1101</v>
      </c>
      <c r="I160" s="19" t="s">
        <v>1173</v>
      </c>
      <c r="J160" s="19"/>
      <c r="K160" s="56" t="s">
        <v>724</v>
      </c>
      <c r="L160" s="57" t="s">
        <v>1113</v>
      </c>
      <c r="M160" s="56" t="s">
        <v>725</v>
      </c>
      <c r="N160" s="56"/>
      <c r="O160" s="56"/>
      <c r="P160" s="56"/>
      <c r="Q160" s="56"/>
      <c r="R160" s="56"/>
      <c r="S160" s="56"/>
      <c r="T160" s="56"/>
      <c r="U160" s="56"/>
      <c r="V160" s="56">
        <f t="shared" si="43"/>
        <v>0</v>
      </c>
      <c r="W160" s="56"/>
      <c r="X160" s="56"/>
      <c r="Y160" s="56"/>
      <c r="Z160" s="56"/>
      <c r="AA160" s="56">
        <v>1</v>
      </c>
      <c r="AB160" s="56"/>
      <c r="AC160" s="56"/>
      <c r="AD160" s="56"/>
      <c r="AE160" s="56"/>
      <c r="AF160" s="56">
        <f t="shared" si="32"/>
        <v>1</v>
      </c>
      <c r="AG160" s="56">
        <f t="shared" si="33"/>
        <v>0</v>
      </c>
      <c r="AH160" s="56">
        <f t="shared" si="34"/>
        <v>0</v>
      </c>
      <c r="AI160" s="56">
        <f t="shared" si="35"/>
        <v>0</v>
      </c>
      <c r="AJ160" s="56">
        <f t="shared" si="36"/>
        <v>1</v>
      </c>
      <c r="AK160" s="56">
        <f t="shared" si="37"/>
        <v>0</v>
      </c>
      <c r="AL160" s="56">
        <f t="shared" si="38"/>
        <v>0</v>
      </c>
      <c r="AM160" s="56">
        <f t="shared" si="39"/>
        <v>0</v>
      </c>
      <c r="AN160" s="56">
        <f t="shared" si="40"/>
        <v>0</v>
      </c>
      <c r="AO160" s="58">
        <f t="shared" si="41"/>
        <v>1</v>
      </c>
      <c r="AP160" s="69"/>
      <c r="AQ160" s="40">
        <v>0</v>
      </c>
      <c r="AR160" s="40">
        <f t="shared" si="44"/>
        <v>1</v>
      </c>
      <c r="AS160" s="31">
        <v>0</v>
      </c>
      <c r="AT160" s="31">
        <v>0</v>
      </c>
      <c r="AU160" s="31">
        <v>0</v>
      </c>
      <c r="AV160" s="39">
        <v>0</v>
      </c>
      <c r="AW160" s="31"/>
      <c r="AX160" s="31"/>
      <c r="AY160" s="31"/>
      <c r="AZ160" s="31"/>
      <c r="BA160" s="39"/>
      <c r="BB160" s="152">
        <f t="shared" si="42"/>
        <v>1</v>
      </c>
      <c r="BC160" s="43">
        <v>515803</v>
      </c>
      <c r="BD160" s="43">
        <v>171071</v>
      </c>
      <c r="BE160" t="s">
        <v>1405</v>
      </c>
      <c r="BF160"/>
    </row>
    <row r="161" spans="1:66" ht="15" customHeight="1" x14ac:dyDescent="0.25">
      <c r="A161" s="56" t="s">
        <v>738</v>
      </c>
      <c r="B161" s="19" t="s">
        <v>31</v>
      </c>
      <c r="C161" s="56"/>
      <c r="D161" s="34">
        <v>43454</v>
      </c>
      <c r="E161" s="34">
        <v>44550</v>
      </c>
      <c r="F161" s="34">
        <v>43497</v>
      </c>
      <c r="G161" s="37">
        <v>43955</v>
      </c>
      <c r="H161" s="36" t="s">
        <v>1101</v>
      </c>
      <c r="I161" s="19" t="s">
        <v>1173</v>
      </c>
      <c r="J161" s="19"/>
      <c r="K161" s="56" t="s">
        <v>739</v>
      </c>
      <c r="L161" s="57" t="s">
        <v>740</v>
      </c>
      <c r="M161" s="56" t="s">
        <v>302</v>
      </c>
      <c r="N161" s="56">
        <v>2</v>
      </c>
      <c r="O161" s="56"/>
      <c r="P161" s="56"/>
      <c r="Q161" s="56"/>
      <c r="R161" s="56"/>
      <c r="S161" s="56"/>
      <c r="T161" s="56"/>
      <c r="U161" s="56"/>
      <c r="V161" s="56">
        <f t="shared" si="43"/>
        <v>2</v>
      </c>
      <c r="W161" s="56"/>
      <c r="X161" s="56">
        <v>2</v>
      </c>
      <c r="Y161" s="56">
        <v>1</v>
      </c>
      <c r="Z161" s="56"/>
      <c r="AA161" s="56"/>
      <c r="AB161" s="56"/>
      <c r="AC161" s="56"/>
      <c r="AD161" s="56"/>
      <c r="AE161" s="56"/>
      <c r="AF161" s="56">
        <f t="shared" si="32"/>
        <v>3</v>
      </c>
      <c r="AG161" s="56">
        <f t="shared" si="33"/>
        <v>0</v>
      </c>
      <c r="AH161" s="56">
        <f t="shared" si="34"/>
        <v>1</v>
      </c>
      <c r="AI161" s="56">
        <f t="shared" si="35"/>
        <v>0</v>
      </c>
      <c r="AJ161" s="56">
        <f t="shared" si="36"/>
        <v>0</v>
      </c>
      <c r="AK161" s="56">
        <f t="shared" si="37"/>
        <v>0</v>
      </c>
      <c r="AL161" s="56">
        <f t="shared" si="38"/>
        <v>0</v>
      </c>
      <c r="AM161" s="56">
        <f t="shared" si="39"/>
        <v>0</v>
      </c>
      <c r="AN161" s="56">
        <f t="shared" si="40"/>
        <v>0</v>
      </c>
      <c r="AO161" s="58">
        <f t="shared" si="41"/>
        <v>1</v>
      </c>
      <c r="AP161" s="69"/>
      <c r="AQ161" s="40">
        <v>0</v>
      </c>
      <c r="AR161" s="40">
        <f t="shared" si="44"/>
        <v>1</v>
      </c>
      <c r="AS161" s="31">
        <v>0</v>
      </c>
      <c r="AT161" s="31">
        <v>0</v>
      </c>
      <c r="AU161" s="31">
        <v>0</v>
      </c>
      <c r="AV161" s="39">
        <v>0</v>
      </c>
      <c r="AW161" s="31"/>
      <c r="AX161" s="31"/>
      <c r="AY161" s="31"/>
      <c r="AZ161" s="31"/>
      <c r="BA161" s="39"/>
      <c r="BB161" s="152">
        <f t="shared" si="42"/>
        <v>1</v>
      </c>
      <c r="BC161" s="43">
        <v>521729</v>
      </c>
      <c r="BD161" s="43">
        <v>176389</v>
      </c>
      <c r="BE161" t="s">
        <v>1459</v>
      </c>
      <c r="BF161"/>
      <c r="BI161" t="s">
        <v>1551</v>
      </c>
      <c r="BJ161" t="s">
        <v>1503</v>
      </c>
      <c r="BM161" t="s">
        <v>1545</v>
      </c>
      <c r="BN161" t="s">
        <v>1525</v>
      </c>
    </row>
    <row r="162" spans="1:66" ht="15" customHeight="1" x14ac:dyDescent="0.25">
      <c r="A162" s="56" t="s">
        <v>741</v>
      </c>
      <c r="B162" s="19" t="s">
        <v>31</v>
      </c>
      <c r="C162" s="56"/>
      <c r="D162" s="34">
        <v>43368</v>
      </c>
      <c r="E162" s="34">
        <v>44464</v>
      </c>
      <c r="F162" s="37">
        <v>43739</v>
      </c>
      <c r="G162" s="19"/>
      <c r="H162" s="36" t="s">
        <v>1101</v>
      </c>
      <c r="I162" s="19" t="s">
        <v>1173</v>
      </c>
      <c r="J162" s="19"/>
      <c r="K162" s="56" t="s">
        <v>742</v>
      </c>
      <c r="L162" s="57" t="s">
        <v>743</v>
      </c>
      <c r="M162" s="56" t="s">
        <v>744</v>
      </c>
      <c r="N162" s="56"/>
      <c r="O162" s="56"/>
      <c r="P162" s="56">
        <v>1</v>
      </c>
      <c r="Q162" s="56"/>
      <c r="R162" s="56"/>
      <c r="S162" s="56"/>
      <c r="T162" s="56"/>
      <c r="U162" s="56"/>
      <c r="V162" s="56">
        <f t="shared" si="43"/>
        <v>1</v>
      </c>
      <c r="W162" s="56"/>
      <c r="X162" s="56"/>
      <c r="Y162" s="56">
        <v>1</v>
      </c>
      <c r="Z162" s="56"/>
      <c r="AA162" s="56"/>
      <c r="AB162" s="56"/>
      <c r="AC162" s="56"/>
      <c r="AD162" s="56"/>
      <c r="AE162" s="56"/>
      <c r="AF162" s="56">
        <f t="shared" si="32"/>
        <v>1</v>
      </c>
      <c r="AG162" s="56">
        <f t="shared" si="33"/>
        <v>0</v>
      </c>
      <c r="AH162" s="56">
        <f t="shared" si="34"/>
        <v>1</v>
      </c>
      <c r="AI162" s="56">
        <f t="shared" si="35"/>
        <v>-1</v>
      </c>
      <c r="AJ162" s="56">
        <f t="shared" si="36"/>
        <v>0</v>
      </c>
      <c r="AK162" s="56">
        <f t="shared" si="37"/>
        <v>0</v>
      </c>
      <c r="AL162" s="56">
        <f t="shared" si="38"/>
        <v>0</v>
      </c>
      <c r="AM162" s="56">
        <f t="shared" si="39"/>
        <v>0</v>
      </c>
      <c r="AN162" s="56">
        <f t="shared" si="40"/>
        <v>0</v>
      </c>
      <c r="AO162" s="58">
        <f t="shared" si="41"/>
        <v>0</v>
      </c>
      <c r="AP162" s="69"/>
      <c r="AQ162" s="40">
        <v>0</v>
      </c>
      <c r="AR162" s="40">
        <f t="shared" si="44"/>
        <v>0</v>
      </c>
      <c r="AS162" s="31">
        <v>0</v>
      </c>
      <c r="AT162" s="31">
        <v>0</v>
      </c>
      <c r="AU162" s="31">
        <v>0</v>
      </c>
      <c r="AV162" s="39">
        <v>0</v>
      </c>
      <c r="AW162" s="31"/>
      <c r="AX162" s="31"/>
      <c r="AY162" s="31"/>
      <c r="AZ162" s="31"/>
      <c r="BA162" s="39"/>
      <c r="BB162" s="152">
        <f t="shared" si="42"/>
        <v>0</v>
      </c>
      <c r="BC162" s="43">
        <v>514005</v>
      </c>
      <c r="BD162" s="43">
        <v>169556</v>
      </c>
      <c r="BE162" t="s">
        <v>1417</v>
      </c>
      <c r="BF162"/>
      <c r="BI162" t="s">
        <v>1551</v>
      </c>
      <c r="BJ162" t="s">
        <v>1517</v>
      </c>
      <c r="BM162" t="s">
        <v>1545</v>
      </c>
      <c r="BN162" t="s">
        <v>1502</v>
      </c>
    </row>
    <row r="163" spans="1:66" ht="15" customHeight="1" x14ac:dyDescent="0.25">
      <c r="A163" s="56" t="s">
        <v>748</v>
      </c>
      <c r="B163" s="19" t="s">
        <v>31</v>
      </c>
      <c r="C163" s="56"/>
      <c r="D163" s="34">
        <v>43417</v>
      </c>
      <c r="E163" s="34">
        <v>44711</v>
      </c>
      <c r="F163" s="37">
        <v>43843</v>
      </c>
      <c r="G163" s="19"/>
      <c r="H163" s="36" t="s">
        <v>1101</v>
      </c>
      <c r="I163" s="19" t="s">
        <v>1173</v>
      </c>
      <c r="J163" s="19"/>
      <c r="K163" s="56" t="s">
        <v>749</v>
      </c>
      <c r="L163" s="57" t="s">
        <v>750</v>
      </c>
      <c r="M163" s="56" t="s">
        <v>397</v>
      </c>
      <c r="N163" s="56"/>
      <c r="O163" s="56"/>
      <c r="P163" s="56"/>
      <c r="Q163" s="56"/>
      <c r="R163" s="56"/>
      <c r="S163" s="56"/>
      <c r="T163" s="56"/>
      <c r="U163" s="56"/>
      <c r="V163" s="56">
        <f t="shared" si="43"/>
        <v>0</v>
      </c>
      <c r="W163" s="56"/>
      <c r="X163" s="56"/>
      <c r="Y163" s="56">
        <v>1</v>
      </c>
      <c r="Z163" s="56"/>
      <c r="AA163" s="56"/>
      <c r="AB163" s="56"/>
      <c r="AC163" s="56"/>
      <c r="AD163" s="56"/>
      <c r="AE163" s="56"/>
      <c r="AF163" s="56">
        <f t="shared" si="32"/>
        <v>1</v>
      </c>
      <c r="AG163" s="56">
        <f t="shared" si="33"/>
        <v>0</v>
      </c>
      <c r="AH163" s="56">
        <f t="shared" si="34"/>
        <v>1</v>
      </c>
      <c r="AI163" s="56">
        <f t="shared" si="35"/>
        <v>0</v>
      </c>
      <c r="AJ163" s="56">
        <f t="shared" si="36"/>
        <v>0</v>
      </c>
      <c r="AK163" s="56">
        <f t="shared" si="37"/>
        <v>0</v>
      </c>
      <c r="AL163" s="56">
        <f t="shared" si="38"/>
        <v>0</v>
      </c>
      <c r="AM163" s="56">
        <f t="shared" si="39"/>
        <v>0</v>
      </c>
      <c r="AN163" s="56">
        <f t="shared" si="40"/>
        <v>0</v>
      </c>
      <c r="AO163" s="58">
        <f t="shared" si="41"/>
        <v>1</v>
      </c>
      <c r="AP163" s="69"/>
      <c r="AQ163" s="40">
        <v>0</v>
      </c>
      <c r="AR163" s="40">
        <f t="shared" si="44"/>
        <v>1</v>
      </c>
      <c r="AS163" s="31">
        <v>0</v>
      </c>
      <c r="AT163" s="31">
        <v>0</v>
      </c>
      <c r="AU163" s="31">
        <v>0</v>
      </c>
      <c r="AV163" s="39">
        <v>0</v>
      </c>
      <c r="AW163" s="31"/>
      <c r="AX163" s="31"/>
      <c r="AY163" s="31"/>
      <c r="AZ163" s="31"/>
      <c r="BA163" s="39"/>
      <c r="BB163" s="152">
        <f t="shared" si="42"/>
        <v>1</v>
      </c>
      <c r="BC163" s="43">
        <v>519061</v>
      </c>
      <c r="BD163" s="43">
        <v>176662</v>
      </c>
      <c r="BE163" t="s">
        <v>1420</v>
      </c>
      <c r="BF163"/>
      <c r="BM163" t="s">
        <v>1545</v>
      </c>
      <c r="BN163" t="s">
        <v>1510</v>
      </c>
    </row>
    <row r="164" spans="1:66" ht="15" customHeight="1" x14ac:dyDescent="0.25">
      <c r="A164" s="56" t="s">
        <v>755</v>
      </c>
      <c r="B164" s="19" t="s">
        <v>20</v>
      </c>
      <c r="C164" s="56"/>
      <c r="D164" s="34">
        <v>43546</v>
      </c>
      <c r="E164" s="34">
        <v>44642</v>
      </c>
      <c r="F164" s="34">
        <v>43859</v>
      </c>
      <c r="G164" s="19"/>
      <c r="H164" s="36" t="s">
        <v>1101</v>
      </c>
      <c r="I164" s="19" t="s">
        <v>1173</v>
      </c>
      <c r="J164" s="19"/>
      <c r="K164" s="56" t="s">
        <v>756</v>
      </c>
      <c r="L164" s="57" t="s">
        <v>757</v>
      </c>
      <c r="M164" s="56" t="s">
        <v>758</v>
      </c>
      <c r="N164" s="56"/>
      <c r="O164" s="56">
        <v>1</v>
      </c>
      <c r="P164" s="56"/>
      <c r="Q164" s="56"/>
      <c r="R164" s="56"/>
      <c r="S164" s="56"/>
      <c r="T164" s="56"/>
      <c r="U164" s="56"/>
      <c r="V164" s="56">
        <f t="shared" si="43"/>
        <v>1</v>
      </c>
      <c r="W164" s="56"/>
      <c r="X164" s="56"/>
      <c r="Y164" s="56"/>
      <c r="Z164" s="56">
        <v>2</v>
      </c>
      <c r="AA164" s="56"/>
      <c r="AB164" s="56"/>
      <c r="AC164" s="56"/>
      <c r="AD164" s="56"/>
      <c r="AE164" s="56"/>
      <c r="AF164" s="56">
        <f t="shared" si="32"/>
        <v>2</v>
      </c>
      <c r="AG164" s="56">
        <f t="shared" si="33"/>
        <v>0</v>
      </c>
      <c r="AH164" s="56">
        <f t="shared" si="34"/>
        <v>-1</v>
      </c>
      <c r="AI164" s="56">
        <f t="shared" si="35"/>
        <v>2</v>
      </c>
      <c r="AJ164" s="56">
        <f t="shared" si="36"/>
        <v>0</v>
      </c>
      <c r="AK164" s="56">
        <f t="shared" si="37"/>
        <v>0</v>
      </c>
      <c r="AL164" s="56">
        <f t="shared" si="38"/>
        <v>0</v>
      </c>
      <c r="AM164" s="56">
        <f t="shared" si="39"/>
        <v>0</v>
      </c>
      <c r="AN164" s="56">
        <f t="shared" si="40"/>
        <v>0</v>
      </c>
      <c r="AO164" s="58">
        <f t="shared" si="41"/>
        <v>1</v>
      </c>
      <c r="AP164" s="69"/>
      <c r="AQ164" s="40">
        <v>0</v>
      </c>
      <c r="AR164" s="40">
        <f t="shared" si="44"/>
        <v>1</v>
      </c>
      <c r="AS164" s="31">
        <v>0</v>
      </c>
      <c r="AT164" s="31">
        <v>0</v>
      </c>
      <c r="AU164" s="31">
        <v>0</v>
      </c>
      <c r="AV164" s="39">
        <v>0</v>
      </c>
      <c r="AW164" s="31"/>
      <c r="AX164" s="31"/>
      <c r="AY164" s="31"/>
      <c r="AZ164" s="31"/>
      <c r="BA164" s="39"/>
      <c r="BB164" s="152">
        <f t="shared" si="42"/>
        <v>1</v>
      </c>
      <c r="BC164" s="43">
        <v>519884</v>
      </c>
      <c r="BD164" s="43">
        <v>175023</v>
      </c>
      <c r="BE164" t="s">
        <v>1402</v>
      </c>
      <c r="BF164" t="s">
        <v>1410</v>
      </c>
    </row>
    <row r="165" spans="1:66" ht="15" customHeight="1" x14ac:dyDescent="0.25">
      <c r="A165" s="56" t="s">
        <v>766</v>
      </c>
      <c r="B165" s="19" t="s">
        <v>31</v>
      </c>
      <c r="C165" s="56"/>
      <c r="D165" s="34">
        <v>43532</v>
      </c>
      <c r="E165" s="34">
        <v>44628</v>
      </c>
      <c r="F165" s="34">
        <v>43553</v>
      </c>
      <c r="G165" s="19"/>
      <c r="H165" s="38" t="s">
        <v>1101</v>
      </c>
      <c r="I165" s="19" t="s">
        <v>1173</v>
      </c>
      <c r="J165" s="19"/>
      <c r="K165" s="56" t="s">
        <v>767</v>
      </c>
      <c r="L165" s="57" t="s">
        <v>768</v>
      </c>
      <c r="M165" s="56" t="s">
        <v>251</v>
      </c>
      <c r="N165" s="56"/>
      <c r="O165" s="56"/>
      <c r="P165" s="56"/>
      <c r="Q165" s="56"/>
      <c r="R165" s="56"/>
      <c r="S165" s="56"/>
      <c r="T165" s="56"/>
      <c r="U165" s="56"/>
      <c r="V165" s="56">
        <f t="shared" si="43"/>
        <v>0</v>
      </c>
      <c r="W165" s="56"/>
      <c r="X165" s="56"/>
      <c r="Y165" s="56"/>
      <c r="Z165" s="56">
        <v>1</v>
      </c>
      <c r="AA165" s="56"/>
      <c r="AB165" s="56"/>
      <c r="AC165" s="56"/>
      <c r="AD165" s="56"/>
      <c r="AE165" s="56"/>
      <c r="AF165" s="56">
        <f t="shared" si="32"/>
        <v>1</v>
      </c>
      <c r="AG165" s="56">
        <f t="shared" si="33"/>
        <v>0</v>
      </c>
      <c r="AH165" s="56">
        <f t="shared" si="34"/>
        <v>0</v>
      </c>
      <c r="AI165" s="56">
        <f t="shared" si="35"/>
        <v>1</v>
      </c>
      <c r="AJ165" s="56">
        <f t="shared" si="36"/>
        <v>0</v>
      </c>
      <c r="AK165" s="56">
        <f t="shared" si="37"/>
        <v>0</v>
      </c>
      <c r="AL165" s="56">
        <f t="shared" si="38"/>
        <v>0</v>
      </c>
      <c r="AM165" s="56">
        <f t="shared" si="39"/>
        <v>0</v>
      </c>
      <c r="AN165" s="56">
        <f t="shared" si="40"/>
        <v>0</v>
      </c>
      <c r="AO165" s="58">
        <f t="shared" si="41"/>
        <v>1</v>
      </c>
      <c r="AP165" s="69"/>
      <c r="AQ165" s="40">
        <v>0</v>
      </c>
      <c r="AR165" s="40">
        <f t="shared" si="44"/>
        <v>1</v>
      </c>
      <c r="AS165" s="31">
        <v>0</v>
      </c>
      <c r="AT165" s="31">
        <v>0</v>
      </c>
      <c r="AU165" s="31">
        <v>0</v>
      </c>
      <c r="AV165" s="39">
        <v>0</v>
      </c>
      <c r="AW165" s="31"/>
      <c r="AX165" s="31"/>
      <c r="AY165" s="31"/>
      <c r="AZ165" s="31"/>
      <c r="BA165" s="39"/>
      <c r="BB165" s="152">
        <f t="shared" si="42"/>
        <v>1</v>
      </c>
      <c r="BC165" s="43">
        <v>516022</v>
      </c>
      <c r="BD165" s="43">
        <v>171099</v>
      </c>
      <c r="BE165" t="s">
        <v>1405</v>
      </c>
      <c r="BF165"/>
      <c r="BG165" t="s">
        <v>1405</v>
      </c>
      <c r="BM165" t="s">
        <v>1545</v>
      </c>
      <c r="BN165" t="s">
        <v>1520</v>
      </c>
    </row>
    <row r="166" spans="1:66" ht="15" customHeight="1" x14ac:dyDescent="0.25">
      <c r="A166" s="56" t="s">
        <v>788</v>
      </c>
      <c r="B166" s="19" t="s">
        <v>38</v>
      </c>
      <c r="C166" s="56"/>
      <c r="D166" s="34">
        <v>43514</v>
      </c>
      <c r="E166" s="34">
        <v>44610</v>
      </c>
      <c r="F166" s="37">
        <v>43739</v>
      </c>
      <c r="G166" s="37">
        <v>44056</v>
      </c>
      <c r="H166" s="36" t="s">
        <v>1101</v>
      </c>
      <c r="I166" s="19" t="s">
        <v>1173</v>
      </c>
      <c r="J166" s="19"/>
      <c r="K166" s="56" t="s">
        <v>789</v>
      </c>
      <c r="L166" s="57" t="s">
        <v>790</v>
      </c>
      <c r="M166" s="56" t="s">
        <v>791</v>
      </c>
      <c r="N166" s="56"/>
      <c r="O166" s="56">
        <v>2</v>
      </c>
      <c r="P166" s="56"/>
      <c r="Q166" s="56"/>
      <c r="R166" s="56"/>
      <c r="S166" s="56"/>
      <c r="T166" s="56"/>
      <c r="U166" s="56"/>
      <c r="V166" s="56">
        <f t="shared" si="43"/>
        <v>2</v>
      </c>
      <c r="W166" s="56"/>
      <c r="X166" s="56">
        <v>3</v>
      </c>
      <c r="Y166" s="56">
        <v>1</v>
      </c>
      <c r="Z166" s="56"/>
      <c r="AA166" s="56"/>
      <c r="AB166" s="56"/>
      <c r="AC166" s="56"/>
      <c r="AD166" s="56"/>
      <c r="AE166" s="56"/>
      <c r="AF166" s="56">
        <f t="shared" si="32"/>
        <v>4</v>
      </c>
      <c r="AG166" s="56">
        <f t="shared" si="33"/>
        <v>3</v>
      </c>
      <c r="AH166" s="56">
        <f t="shared" si="34"/>
        <v>-1</v>
      </c>
      <c r="AI166" s="56">
        <f t="shared" si="35"/>
        <v>0</v>
      </c>
      <c r="AJ166" s="56">
        <f t="shared" si="36"/>
        <v>0</v>
      </c>
      <c r="AK166" s="56">
        <f t="shared" si="37"/>
        <v>0</v>
      </c>
      <c r="AL166" s="56">
        <f t="shared" si="38"/>
        <v>0</v>
      </c>
      <c r="AM166" s="56">
        <f t="shared" si="39"/>
        <v>0</v>
      </c>
      <c r="AN166" s="56">
        <f t="shared" si="40"/>
        <v>0</v>
      </c>
      <c r="AO166" s="58">
        <f t="shared" si="41"/>
        <v>2</v>
      </c>
      <c r="AP166" s="69"/>
      <c r="AQ166" s="40">
        <v>0</v>
      </c>
      <c r="AR166" s="40">
        <f t="shared" si="44"/>
        <v>2</v>
      </c>
      <c r="AS166" s="31">
        <v>0</v>
      </c>
      <c r="AT166" s="31">
        <v>0</v>
      </c>
      <c r="AU166" s="31">
        <v>0</v>
      </c>
      <c r="AV166" s="39">
        <v>0</v>
      </c>
      <c r="AW166" s="31"/>
      <c r="AX166" s="31"/>
      <c r="AY166" s="31"/>
      <c r="AZ166" s="31"/>
      <c r="BA166" s="39"/>
      <c r="BB166" s="152">
        <f t="shared" si="42"/>
        <v>2</v>
      </c>
      <c r="BC166" s="43">
        <v>520700</v>
      </c>
      <c r="BD166" s="43">
        <v>175411</v>
      </c>
      <c r="BE166" t="s">
        <v>1402</v>
      </c>
      <c r="BF166"/>
      <c r="BG166" t="s">
        <v>1402</v>
      </c>
    </row>
    <row r="167" spans="1:66" ht="15" customHeight="1" x14ac:dyDescent="0.25">
      <c r="A167" s="56" t="s">
        <v>800</v>
      </c>
      <c r="B167" s="19" t="s">
        <v>31</v>
      </c>
      <c r="C167" s="56"/>
      <c r="D167" s="34">
        <v>43550</v>
      </c>
      <c r="E167" s="34">
        <v>44646</v>
      </c>
      <c r="F167" s="37">
        <v>43843</v>
      </c>
      <c r="G167" s="19"/>
      <c r="H167" s="36" t="s">
        <v>1101</v>
      </c>
      <c r="I167" s="19" t="s">
        <v>1173</v>
      </c>
      <c r="J167" s="19"/>
      <c r="K167" s="56" t="s">
        <v>801</v>
      </c>
      <c r="L167" s="57" t="s">
        <v>802</v>
      </c>
      <c r="M167" s="56" t="s">
        <v>803</v>
      </c>
      <c r="N167" s="56"/>
      <c r="O167" s="56"/>
      <c r="P167" s="56"/>
      <c r="Q167" s="56"/>
      <c r="R167" s="56"/>
      <c r="S167" s="56"/>
      <c r="T167" s="56"/>
      <c r="U167" s="56"/>
      <c r="V167" s="56">
        <f t="shared" si="43"/>
        <v>0</v>
      </c>
      <c r="W167" s="56"/>
      <c r="X167" s="56"/>
      <c r="Y167" s="56"/>
      <c r="Z167" s="56"/>
      <c r="AA167" s="56"/>
      <c r="AB167" s="56">
        <v>2</v>
      </c>
      <c r="AC167" s="56"/>
      <c r="AD167" s="56"/>
      <c r="AE167" s="56"/>
      <c r="AF167" s="56">
        <f t="shared" si="32"/>
        <v>2</v>
      </c>
      <c r="AG167" s="56">
        <f t="shared" si="33"/>
        <v>0</v>
      </c>
      <c r="AH167" s="56">
        <f t="shared" si="34"/>
        <v>0</v>
      </c>
      <c r="AI167" s="56">
        <f t="shared" si="35"/>
        <v>0</v>
      </c>
      <c r="AJ167" s="56">
        <f t="shared" si="36"/>
        <v>0</v>
      </c>
      <c r="AK167" s="56">
        <f t="shared" si="37"/>
        <v>2</v>
      </c>
      <c r="AL167" s="56">
        <f t="shared" si="38"/>
        <v>0</v>
      </c>
      <c r="AM167" s="56">
        <f t="shared" si="39"/>
        <v>0</v>
      </c>
      <c r="AN167" s="56">
        <f t="shared" si="40"/>
        <v>0</v>
      </c>
      <c r="AO167" s="58">
        <f t="shared" si="41"/>
        <v>2</v>
      </c>
      <c r="AP167" s="69"/>
      <c r="AQ167" s="40">
        <v>0</v>
      </c>
      <c r="AR167" s="40">
        <f t="shared" si="44"/>
        <v>2</v>
      </c>
      <c r="AS167" s="31">
        <v>0</v>
      </c>
      <c r="AT167" s="31">
        <v>0</v>
      </c>
      <c r="AU167" s="31">
        <v>0</v>
      </c>
      <c r="AV167" s="39">
        <v>0</v>
      </c>
      <c r="AW167" s="31"/>
      <c r="AX167" s="31"/>
      <c r="AY167" s="31"/>
      <c r="AZ167" s="31"/>
      <c r="BA167" s="39"/>
      <c r="BB167" s="152">
        <f t="shared" si="42"/>
        <v>2</v>
      </c>
      <c r="BC167" s="43">
        <v>513264</v>
      </c>
      <c r="BD167" s="43">
        <v>169738</v>
      </c>
      <c r="BE167" t="s">
        <v>1417</v>
      </c>
      <c r="BF167"/>
    </row>
    <row r="168" spans="1:66" ht="15" customHeight="1" x14ac:dyDescent="0.25">
      <c r="A168" s="56" t="s">
        <v>804</v>
      </c>
      <c r="B168" s="19" t="s">
        <v>20</v>
      </c>
      <c r="C168" s="56"/>
      <c r="D168" s="34">
        <v>43599</v>
      </c>
      <c r="E168" s="34">
        <v>44695</v>
      </c>
      <c r="F168" s="37">
        <v>43755</v>
      </c>
      <c r="G168" s="19"/>
      <c r="H168" s="36" t="s">
        <v>1101</v>
      </c>
      <c r="I168" s="19" t="s">
        <v>1173</v>
      </c>
      <c r="J168" s="19"/>
      <c r="K168" s="56" t="s">
        <v>805</v>
      </c>
      <c r="L168" s="57" t="s">
        <v>806</v>
      </c>
      <c r="M168" s="56" t="s">
        <v>807</v>
      </c>
      <c r="N168" s="56"/>
      <c r="O168" s="56"/>
      <c r="P168" s="56"/>
      <c r="Q168" s="56"/>
      <c r="R168" s="56"/>
      <c r="S168" s="56"/>
      <c r="T168" s="56"/>
      <c r="U168" s="56"/>
      <c r="V168" s="56">
        <f t="shared" si="43"/>
        <v>0</v>
      </c>
      <c r="W168" s="56"/>
      <c r="X168" s="56">
        <v>2</v>
      </c>
      <c r="Y168" s="56">
        <v>7</v>
      </c>
      <c r="Z168" s="56"/>
      <c r="AA168" s="56"/>
      <c r="AB168" s="56"/>
      <c r="AC168" s="56"/>
      <c r="AD168" s="56"/>
      <c r="AE168" s="56"/>
      <c r="AF168" s="56">
        <f t="shared" si="32"/>
        <v>9</v>
      </c>
      <c r="AG168" s="56">
        <f t="shared" si="33"/>
        <v>2</v>
      </c>
      <c r="AH168" s="56">
        <f t="shared" si="34"/>
        <v>7</v>
      </c>
      <c r="AI168" s="56">
        <f t="shared" si="35"/>
        <v>0</v>
      </c>
      <c r="AJ168" s="56">
        <f t="shared" si="36"/>
        <v>0</v>
      </c>
      <c r="AK168" s="56">
        <f t="shared" si="37"/>
        <v>0</v>
      </c>
      <c r="AL168" s="56">
        <f t="shared" si="38"/>
        <v>0</v>
      </c>
      <c r="AM168" s="56">
        <f t="shared" si="39"/>
        <v>0</v>
      </c>
      <c r="AN168" s="56">
        <f t="shared" si="40"/>
        <v>0</v>
      </c>
      <c r="AO168" s="58">
        <f t="shared" si="41"/>
        <v>9</v>
      </c>
      <c r="AP168" s="69"/>
      <c r="AQ168" s="40">
        <v>0</v>
      </c>
      <c r="AR168" s="40">
        <f t="shared" si="44"/>
        <v>9</v>
      </c>
      <c r="AS168" s="31">
        <v>0</v>
      </c>
      <c r="AT168" s="31">
        <v>0</v>
      </c>
      <c r="AU168" s="31">
        <v>0</v>
      </c>
      <c r="AV168" s="39">
        <v>0</v>
      </c>
      <c r="AW168" s="31"/>
      <c r="AX168" s="31"/>
      <c r="AY168" s="31"/>
      <c r="AZ168" s="31"/>
      <c r="BA168" s="39"/>
      <c r="BB168" s="152">
        <f t="shared" si="42"/>
        <v>9</v>
      </c>
      <c r="BC168" s="43">
        <v>513285</v>
      </c>
      <c r="BD168" s="43">
        <v>169757</v>
      </c>
      <c r="BE168" t="s">
        <v>1417</v>
      </c>
      <c r="BF168"/>
      <c r="BI168" t="s">
        <v>1551</v>
      </c>
      <c r="BJ168" t="s">
        <v>1531</v>
      </c>
    </row>
    <row r="169" spans="1:66" ht="15" customHeight="1" x14ac:dyDescent="0.25">
      <c r="A169" s="56" t="s">
        <v>808</v>
      </c>
      <c r="B169" s="19" t="s">
        <v>31</v>
      </c>
      <c r="C169" s="56" t="s">
        <v>1203</v>
      </c>
      <c r="D169" s="34">
        <v>43483</v>
      </c>
      <c r="E169" s="34">
        <v>44579</v>
      </c>
      <c r="F169" s="37">
        <v>43784</v>
      </c>
      <c r="G169" s="19"/>
      <c r="H169" s="36" t="s">
        <v>1101</v>
      </c>
      <c r="I169" s="19" t="s">
        <v>1173</v>
      </c>
      <c r="J169" s="19"/>
      <c r="K169" s="56" t="s">
        <v>809</v>
      </c>
      <c r="L169" s="57" t="s">
        <v>810</v>
      </c>
      <c r="M169" s="56" t="s">
        <v>811</v>
      </c>
      <c r="N169" s="56"/>
      <c r="O169" s="56"/>
      <c r="P169" s="56"/>
      <c r="Q169" s="56"/>
      <c r="R169" s="56"/>
      <c r="S169" s="56"/>
      <c r="T169" s="56"/>
      <c r="U169" s="56"/>
      <c r="V169" s="56">
        <f t="shared" si="43"/>
        <v>0</v>
      </c>
      <c r="W169" s="56"/>
      <c r="X169" s="56">
        <v>7</v>
      </c>
      <c r="Y169" s="56">
        <v>1</v>
      </c>
      <c r="Z169" s="56"/>
      <c r="AA169" s="56"/>
      <c r="AB169" s="56"/>
      <c r="AC169" s="56"/>
      <c r="AD169" s="56"/>
      <c r="AE169" s="56"/>
      <c r="AF169" s="56">
        <f t="shared" si="32"/>
        <v>8</v>
      </c>
      <c r="AG169" s="56">
        <f t="shared" si="33"/>
        <v>7</v>
      </c>
      <c r="AH169" s="56">
        <f t="shared" si="34"/>
        <v>1</v>
      </c>
      <c r="AI169" s="56">
        <f t="shared" si="35"/>
        <v>0</v>
      </c>
      <c r="AJ169" s="56">
        <f t="shared" si="36"/>
        <v>0</v>
      </c>
      <c r="AK169" s="56">
        <f t="shared" si="37"/>
        <v>0</v>
      </c>
      <c r="AL169" s="56">
        <f t="shared" si="38"/>
        <v>0</v>
      </c>
      <c r="AM169" s="56">
        <f t="shared" si="39"/>
        <v>0</v>
      </c>
      <c r="AN169" s="56">
        <f t="shared" si="40"/>
        <v>0</v>
      </c>
      <c r="AO169" s="58">
        <f t="shared" si="41"/>
        <v>8</v>
      </c>
      <c r="AP169" s="69"/>
      <c r="AQ169" s="40">
        <v>0</v>
      </c>
      <c r="AR169" s="40">
        <f t="shared" si="44"/>
        <v>8</v>
      </c>
      <c r="AS169" s="31">
        <v>0</v>
      </c>
      <c r="AT169" s="31">
        <v>0</v>
      </c>
      <c r="AU169" s="31">
        <v>0</v>
      </c>
      <c r="AV169" s="39">
        <v>0</v>
      </c>
      <c r="AW169" s="31"/>
      <c r="AX169" s="31"/>
      <c r="AY169" s="31"/>
      <c r="AZ169" s="31"/>
      <c r="BA169" s="39"/>
      <c r="BB169" s="152">
        <f t="shared" si="42"/>
        <v>8</v>
      </c>
      <c r="BC169" s="43">
        <v>517565</v>
      </c>
      <c r="BD169" s="43">
        <v>169582</v>
      </c>
      <c r="BE169" t="s">
        <v>1418</v>
      </c>
      <c r="BF169"/>
      <c r="BI169" t="s">
        <v>1551</v>
      </c>
      <c r="BJ169" t="s">
        <v>1418</v>
      </c>
      <c r="BM169" t="s">
        <v>1545</v>
      </c>
      <c r="BN169" t="s">
        <v>1522</v>
      </c>
    </row>
    <row r="170" spans="1:66" ht="15" customHeight="1" x14ac:dyDescent="0.25">
      <c r="A170" s="56" t="s">
        <v>816</v>
      </c>
      <c r="B170" s="19" t="s">
        <v>31</v>
      </c>
      <c r="C170" s="56" t="s">
        <v>1203</v>
      </c>
      <c r="D170" s="34">
        <v>43495</v>
      </c>
      <c r="E170" s="34">
        <v>44591</v>
      </c>
      <c r="F170" s="34">
        <v>43722</v>
      </c>
      <c r="G170" s="37">
        <v>44076</v>
      </c>
      <c r="H170" s="36" t="s">
        <v>1101</v>
      </c>
      <c r="I170" s="19" t="s">
        <v>1173</v>
      </c>
      <c r="J170" s="19"/>
      <c r="K170" s="56" t="s">
        <v>817</v>
      </c>
      <c r="L170" s="57" t="s">
        <v>818</v>
      </c>
      <c r="M170" s="56" t="s">
        <v>819</v>
      </c>
      <c r="N170" s="56"/>
      <c r="O170" s="56"/>
      <c r="P170" s="56"/>
      <c r="Q170" s="56"/>
      <c r="R170" s="56"/>
      <c r="S170" s="56"/>
      <c r="T170" s="56"/>
      <c r="U170" s="56"/>
      <c r="V170" s="56">
        <f t="shared" si="43"/>
        <v>0</v>
      </c>
      <c r="W170" s="56"/>
      <c r="X170" s="56"/>
      <c r="Y170" s="56">
        <v>1</v>
      </c>
      <c r="Z170" s="56">
        <v>2</v>
      </c>
      <c r="AA170" s="56"/>
      <c r="AB170" s="56"/>
      <c r="AC170" s="56"/>
      <c r="AD170" s="56"/>
      <c r="AE170" s="56"/>
      <c r="AF170" s="56">
        <f t="shared" si="32"/>
        <v>3</v>
      </c>
      <c r="AG170" s="56">
        <f t="shared" si="33"/>
        <v>0</v>
      </c>
      <c r="AH170" s="56">
        <f t="shared" si="34"/>
        <v>1</v>
      </c>
      <c r="AI170" s="56">
        <f t="shared" si="35"/>
        <v>2</v>
      </c>
      <c r="AJ170" s="56">
        <f t="shared" si="36"/>
        <v>0</v>
      </c>
      <c r="AK170" s="56">
        <f t="shared" si="37"/>
        <v>0</v>
      </c>
      <c r="AL170" s="56">
        <f t="shared" si="38"/>
        <v>0</v>
      </c>
      <c r="AM170" s="56">
        <f t="shared" si="39"/>
        <v>0</v>
      </c>
      <c r="AN170" s="56">
        <f t="shared" si="40"/>
        <v>0</v>
      </c>
      <c r="AO170" s="58">
        <f t="shared" si="41"/>
        <v>3</v>
      </c>
      <c r="AP170" s="248"/>
      <c r="AQ170" s="40">
        <v>0</v>
      </c>
      <c r="AR170" s="40">
        <f t="shared" si="44"/>
        <v>3</v>
      </c>
      <c r="AS170" s="31">
        <v>0</v>
      </c>
      <c r="AT170" s="31">
        <v>0</v>
      </c>
      <c r="AU170" s="31">
        <v>0</v>
      </c>
      <c r="AV170" s="39">
        <v>0</v>
      </c>
      <c r="AW170" s="31"/>
      <c r="AX170" s="31"/>
      <c r="AY170" s="31"/>
      <c r="AZ170" s="31"/>
      <c r="BA170" s="39"/>
      <c r="BB170" s="152">
        <f t="shared" si="42"/>
        <v>3</v>
      </c>
      <c r="BC170" s="43">
        <v>519311</v>
      </c>
      <c r="BD170" s="43">
        <v>177214</v>
      </c>
      <c r="BE170" t="s">
        <v>1420</v>
      </c>
      <c r="BF170"/>
      <c r="BM170" t="s">
        <v>1545</v>
      </c>
      <c r="BN170" t="s">
        <v>1524</v>
      </c>
    </row>
    <row r="171" spans="1:66" ht="15" customHeight="1" x14ac:dyDescent="0.25">
      <c r="A171" s="56" t="s">
        <v>848</v>
      </c>
      <c r="B171" s="19" t="s">
        <v>48</v>
      </c>
      <c r="C171" s="56"/>
      <c r="D171" s="34">
        <v>43649</v>
      </c>
      <c r="E171" s="34">
        <v>44745</v>
      </c>
      <c r="F171" s="37">
        <v>43691</v>
      </c>
      <c r="G171" s="37">
        <v>44089</v>
      </c>
      <c r="H171" s="36" t="s">
        <v>1101</v>
      </c>
      <c r="I171" s="19" t="s">
        <v>1173</v>
      </c>
      <c r="J171" s="19"/>
      <c r="K171" s="56" t="s">
        <v>849</v>
      </c>
      <c r="L171" s="57" t="s">
        <v>850</v>
      </c>
      <c r="M171" s="56" t="s">
        <v>851</v>
      </c>
      <c r="N171" s="56"/>
      <c r="O171" s="56"/>
      <c r="P171" s="56"/>
      <c r="Q171" s="56"/>
      <c r="R171" s="56"/>
      <c r="S171" s="56"/>
      <c r="T171" s="56"/>
      <c r="U171" s="56"/>
      <c r="V171" s="56">
        <f t="shared" ref="V171:V202" si="45">SUM(N171:U171)</f>
        <v>0</v>
      </c>
      <c r="W171" s="56"/>
      <c r="X171" s="56">
        <v>1</v>
      </c>
      <c r="Y171" s="56"/>
      <c r="Z171" s="56"/>
      <c r="AA171" s="56"/>
      <c r="AB171" s="56"/>
      <c r="AC171" s="56"/>
      <c r="AD171" s="56"/>
      <c r="AE171" s="56"/>
      <c r="AF171" s="56">
        <f t="shared" si="32"/>
        <v>1</v>
      </c>
      <c r="AG171" s="56">
        <f t="shared" si="33"/>
        <v>1</v>
      </c>
      <c r="AH171" s="56">
        <f t="shared" si="34"/>
        <v>0</v>
      </c>
      <c r="AI171" s="56">
        <f t="shared" si="35"/>
        <v>0</v>
      </c>
      <c r="AJ171" s="56">
        <f t="shared" si="36"/>
        <v>0</v>
      </c>
      <c r="AK171" s="56">
        <f t="shared" si="37"/>
        <v>0</v>
      </c>
      <c r="AL171" s="56">
        <f t="shared" si="38"/>
        <v>0</v>
      </c>
      <c r="AM171" s="56">
        <f t="shared" si="39"/>
        <v>0</v>
      </c>
      <c r="AN171" s="56">
        <f t="shared" si="40"/>
        <v>0</v>
      </c>
      <c r="AO171" s="58">
        <f t="shared" si="41"/>
        <v>1</v>
      </c>
      <c r="AP171" s="248"/>
      <c r="AQ171" s="40">
        <v>0</v>
      </c>
      <c r="AR171" s="40">
        <f t="shared" si="44"/>
        <v>1</v>
      </c>
      <c r="AS171" s="31">
        <v>0</v>
      </c>
      <c r="AT171" s="31">
        <v>0</v>
      </c>
      <c r="AU171" s="31">
        <v>0</v>
      </c>
      <c r="AV171" s="39">
        <v>0</v>
      </c>
      <c r="AW171" s="31"/>
      <c r="AX171" s="31"/>
      <c r="AY171" s="31"/>
      <c r="AZ171" s="31"/>
      <c r="BA171" s="39"/>
      <c r="BB171" s="152">
        <f t="shared" si="42"/>
        <v>1</v>
      </c>
      <c r="BC171" s="43">
        <v>513733</v>
      </c>
      <c r="BD171" s="43">
        <v>174333</v>
      </c>
      <c r="BE171" t="s">
        <v>1428</v>
      </c>
      <c r="BF171"/>
    </row>
    <row r="172" spans="1:66" ht="15" customHeight="1" x14ac:dyDescent="0.25">
      <c r="A172" s="56" t="s">
        <v>852</v>
      </c>
      <c r="B172" s="19" t="s">
        <v>48</v>
      </c>
      <c r="C172" s="56"/>
      <c r="D172" s="34">
        <v>43811</v>
      </c>
      <c r="E172" s="34">
        <v>44907</v>
      </c>
      <c r="F172" s="37">
        <v>43920</v>
      </c>
      <c r="G172" s="19"/>
      <c r="H172" s="36" t="s">
        <v>1101</v>
      </c>
      <c r="I172" s="19" t="s">
        <v>1173</v>
      </c>
      <c r="J172" s="19"/>
      <c r="K172" s="56" t="s">
        <v>853</v>
      </c>
      <c r="L172" s="57" t="s">
        <v>854</v>
      </c>
      <c r="M172" s="56" t="s">
        <v>855</v>
      </c>
      <c r="N172" s="56">
        <v>10</v>
      </c>
      <c r="O172" s="56"/>
      <c r="P172" s="56"/>
      <c r="Q172" s="56"/>
      <c r="R172" s="56"/>
      <c r="S172" s="56"/>
      <c r="T172" s="56"/>
      <c r="U172" s="56"/>
      <c r="V172" s="56">
        <f t="shared" si="45"/>
        <v>10</v>
      </c>
      <c r="W172" s="56"/>
      <c r="X172" s="56">
        <v>20</v>
      </c>
      <c r="Y172" s="56">
        <v>30</v>
      </c>
      <c r="Z172" s="56">
        <v>1</v>
      </c>
      <c r="AA172" s="56"/>
      <c r="AB172" s="56"/>
      <c r="AC172" s="56"/>
      <c r="AD172" s="56"/>
      <c r="AE172" s="56"/>
      <c r="AF172" s="56">
        <f t="shared" si="32"/>
        <v>51</v>
      </c>
      <c r="AG172" s="56">
        <f t="shared" si="33"/>
        <v>10</v>
      </c>
      <c r="AH172" s="56">
        <f t="shared" si="34"/>
        <v>30</v>
      </c>
      <c r="AI172" s="56">
        <f t="shared" si="35"/>
        <v>1</v>
      </c>
      <c r="AJ172" s="56">
        <f t="shared" si="36"/>
        <v>0</v>
      </c>
      <c r="AK172" s="56">
        <f t="shared" si="37"/>
        <v>0</v>
      </c>
      <c r="AL172" s="56">
        <f t="shared" si="38"/>
        <v>0</v>
      </c>
      <c r="AM172" s="56">
        <f t="shared" si="39"/>
        <v>0</v>
      </c>
      <c r="AN172" s="56">
        <f t="shared" si="40"/>
        <v>0</v>
      </c>
      <c r="AO172" s="58">
        <f t="shared" si="41"/>
        <v>41</v>
      </c>
      <c r="AP172" s="69"/>
      <c r="AQ172" s="40">
        <v>0</v>
      </c>
      <c r="AR172" s="40">
        <v>0</v>
      </c>
      <c r="AS172" s="31">
        <f>$AO172/2</f>
        <v>20.5</v>
      </c>
      <c r="AT172" s="31">
        <f>$AO172/2</f>
        <v>20.5</v>
      </c>
      <c r="AU172" s="31">
        <v>0</v>
      </c>
      <c r="AV172" s="39">
        <v>0</v>
      </c>
      <c r="AW172" s="31"/>
      <c r="AX172" s="31"/>
      <c r="AY172" s="31"/>
      <c r="AZ172" s="31"/>
      <c r="BA172" s="39"/>
      <c r="BB172" s="152">
        <f t="shared" si="42"/>
        <v>41</v>
      </c>
      <c r="BC172" s="43">
        <v>517598</v>
      </c>
      <c r="BD172" s="43">
        <v>169722</v>
      </c>
      <c r="BE172" t="s">
        <v>1418</v>
      </c>
      <c r="BF172"/>
      <c r="BM172" t="s">
        <v>1545</v>
      </c>
      <c r="BN172" t="s">
        <v>1522</v>
      </c>
    </row>
    <row r="173" spans="1:66" ht="15" customHeight="1" x14ac:dyDescent="0.25">
      <c r="A173" s="56" t="s">
        <v>867</v>
      </c>
      <c r="B173" s="19" t="s">
        <v>31</v>
      </c>
      <c r="C173" s="56" t="s">
        <v>1203</v>
      </c>
      <c r="D173" s="34">
        <v>43530</v>
      </c>
      <c r="E173" s="34">
        <v>44626</v>
      </c>
      <c r="F173" s="37">
        <v>43598</v>
      </c>
      <c r="G173" s="37">
        <v>44014</v>
      </c>
      <c r="H173" s="36" t="s">
        <v>1101</v>
      </c>
      <c r="I173" s="19" t="s">
        <v>1173</v>
      </c>
      <c r="J173" s="19"/>
      <c r="K173" s="56" t="s">
        <v>868</v>
      </c>
      <c r="L173" s="57" t="s">
        <v>869</v>
      </c>
      <c r="M173" s="56" t="s">
        <v>447</v>
      </c>
      <c r="N173" s="56"/>
      <c r="O173" s="56"/>
      <c r="P173" s="56"/>
      <c r="Q173" s="56"/>
      <c r="R173" s="56"/>
      <c r="S173" s="56"/>
      <c r="T173" s="56"/>
      <c r="U173" s="56"/>
      <c r="V173" s="56">
        <f t="shared" si="45"/>
        <v>0</v>
      </c>
      <c r="W173" s="56"/>
      <c r="X173" s="56">
        <v>1</v>
      </c>
      <c r="Y173" s="56"/>
      <c r="Z173" s="56"/>
      <c r="AA173" s="56"/>
      <c r="AB173" s="56"/>
      <c r="AC173" s="56"/>
      <c r="AD173" s="56"/>
      <c r="AE173" s="56"/>
      <c r="AF173" s="56">
        <f t="shared" si="32"/>
        <v>1</v>
      </c>
      <c r="AG173" s="56">
        <f t="shared" si="33"/>
        <v>1</v>
      </c>
      <c r="AH173" s="56">
        <f t="shared" si="34"/>
        <v>0</v>
      </c>
      <c r="AI173" s="56">
        <f t="shared" si="35"/>
        <v>0</v>
      </c>
      <c r="AJ173" s="56">
        <f t="shared" si="36"/>
        <v>0</v>
      </c>
      <c r="AK173" s="56">
        <f t="shared" si="37"/>
        <v>0</v>
      </c>
      <c r="AL173" s="56">
        <f t="shared" si="38"/>
        <v>0</v>
      </c>
      <c r="AM173" s="56">
        <f t="shared" si="39"/>
        <v>0</v>
      </c>
      <c r="AN173" s="56">
        <f t="shared" si="40"/>
        <v>0</v>
      </c>
      <c r="AO173" s="58">
        <f t="shared" si="41"/>
        <v>1</v>
      </c>
      <c r="AP173" s="69"/>
      <c r="AQ173" s="40">
        <v>0</v>
      </c>
      <c r="AR173" s="40">
        <f t="shared" ref="AR173:AR191" si="46">AO173</f>
        <v>1</v>
      </c>
      <c r="AS173" s="31">
        <v>0</v>
      </c>
      <c r="AT173" s="31">
        <v>0</v>
      </c>
      <c r="AU173" s="31">
        <v>0</v>
      </c>
      <c r="AV173" s="39">
        <v>0</v>
      </c>
      <c r="AW173" s="31"/>
      <c r="AX173" s="31"/>
      <c r="AY173" s="31"/>
      <c r="AZ173" s="31"/>
      <c r="BA173" s="39"/>
      <c r="BB173" s="152">
        <f t="shared" si="42"/>
        <v>1</v>
      </c>
      <c r="BC173" s="43">
        <v>520540</v>
      </c>
      <c r="BD173" s="43">
        <v>175748</v>
      </c>
      <c r="BE173" t="s">
        <v>1402</v>
      </c>
      <c r="BF173"/>
      <c r="BG173" t="s">
        <v>1402</v>
      </c>
    </row>
    <row r="174" spans="1:66" ht="15" customHeight="1" x14ac:dyDescent="0.25">
      <c r="A174" s="56" t="s">
        <v>878</v>
      </c>
      <c r="B174" s="19" t="s">
        <v>31</v>
      </c>
      <c r="C174" s="56" t="s">
        <v>1203</v>
      </c>
      <c r="D174" s="34">
        <v>43536</v>
      </c>
      <c r="E174" s="34">
        <v>44633</v>
      </c>
      <c r="F174" s="34">
        <v>43556</v>
      </c>
      <c r="G174" s="19"/>
      <c r="H174" s="36" t="s">
        <v>1101</v>
      </c>
      <c r="I174" s="19" t="s">
        <v>1173</v>
      </c>
      <c r="J174" s="19"/>
      <c r="K174" s="56" t="s">
        <v>879</v>
      </c>
      <c r="L174" s="57" t="s">
        <v>880</v>
      </c>
      <c r="M174" s="56" t="s">
        <v>881</v>
      </c>
      <c r="N174" s="56"/>
      <c r="O174" s="56"/>
      <c r="P174" s="56"/>
      <c r="Q174" s="56"/>
      <c r="R174" s="56"/>
      <c r="S174" s="56"/>
      <c r="T174" s="56"/>
      <c r="U174" s="56"/>
      <c r="V174" s="56">
        <f t="shared" si="45"/>
        <v>0</v>
      </c>
      <c r="W174" s="56"/>
      <c r="X174" s="56">
        <v>3</v>
      </c>
      <c r="Y174" s="56">
        <v>1</v>
      </c>
      <c r="Z174" s="56"/>
      <c r="AA174" s="56"/>
      <c r="AB174" s="56"/>
      <c r="AC174" s="56"/>
      <c r="AD174" s="56"/>
      <c r="AE174" s="56"/>
      <c r="AF174" s="56">
        <f t="shared" si="32"/>
        <v>4</v>
      </c>
      <c r="AG174" s="56">
        <f t="shared" si="33"/>
        <v>3</v>
      </c>
      <c r="AH174" s="56">
        <f t="shared" si="34"/>
        <v>1</v>
      </c>
      <c r="AI174" s="56">
        <f t="shared" si="35"/>
        <v>0</v>
      </c>
      <c r="AJ174" s="56">
        <f t="shared" si="36"/>
        <v>0</v>
      </c>
      <c r="AK174" s="56">
        <f t="shared" si="37"/>
        <v>0</v>
      </c>
      <c r="AL174" s="56">
        <f t="shared" si="38"/>
        <v>0</v>
      </c>
      <c r="AM174" s="56">
        <f t="shared" si="39"/>
        <v>0</v>
      </c>
      <c r="AN174" s="56">
        <f t="shared" si="40"/>
        <v>0</v>
      </c>
      <c r="AO174" s="58">
        <f t="shared" si="41"/>
        <v>4</v>
      </c>
      <c r="AP174" s="69"/>
      <c r="AQ174" s="40">
        <v>0</v>
      </c>
      <c r="AR174" s="40">
        <f t="shared" si="46"/>
        <v>4</v>
      </c>
      <c r="AS174" s="31">
        <v>0</v>
      </c>
      <c r="AT174" s="31">
        <v>0</v>
      </c>
      <c r="AU174" s="31">
        <v>0</v>
      </c>
      <c r="AV174" s="39">
        <v>0</v>
      </c>
      <c r="AW174" s="31"/>
      <c r="AX174" s="31"/>
      <c r="AY174" s="31"/>
      <c r="AZ174" s="31"/>
      <c r="BA174" s="39"/>
      <c r="BB174" s="152">
        <f t="shared" si="42"/>
        <v>4</v>
      </c>
      <c r="BC174" s="43">
        <v>515383</v>
      </c>
      <c r="BD174" s="43">
        <v>173139</v>
      </c>
      <c r="BE174" t="s">
        <v>1424</v>
      </c>
      <c r="BF174"/>
    </row>
    <row r="175" spans="1:66" ht="15" customHeight="1" x14ac:dyDescent="0.25">
      <c r="A175" s="56" t="s">
        <v>886</v>
      </c>
      <c r="B175" s="19" t="s">
        <v>20</v>
      </c>
      <c r="C175" s="56"/>
      <c r="D175" s="34">
        <v>43651</v>
      </c>
      <c r="E175" s="34">
        <v>44747</v>
      </c>
      <c r="F175" s="37">
        <v>43836</v>
      </c>
      <c r="G175" s="19"/>
      <c r="H175" s="36" t="s">
        <v>1101</v>
      </c>
      <c r="I175" s="19" t="s">
        <v>1173</v>
      </c>
      <c r="J175" s="19"/>
      <c r="K175" s="56" t="s">
        <v>887</v>
      </c>
      <c r="L175" s="57" t="s">
        <v>888</v>
      </c>
      <c r="M175" s="56" t="s">
        <v>889</v>
      </c>
      <c r="N175" s="56">
        <v>1</v>
      </c>
      <c r="O175" s="56"/>
      <c r="P175" s="56"/>
      <c r="Q175" s="56"/>
      <c r="R175" s="56"/>
      <c r="S175" s="56"/>
      <c r="T175" s="56"/>
      <c r="U175" s="56"/>
      <c r="V175" s="56">
        <f t="shared" si="45"/>
        <v>1</v>
      </c>
      <c r="W175" s="56"/>
      <c r="X175" s="56"/>
      <c r="Y175" s="56">
        <v>1</v>
      </c>
      <c r="Z175" s="56"/>
      <c r="AA175" s="56"/>
      <c r="AB175" s="56"/>
      <c r="AC175" s="56"/>
      <c r="AD175" s="56"/>
      <c r="AE175" s="56"/>
      <c r="AF175" s="56">
        <f t="shared" si="32"/>
        <v>1</v>
      </c>
      <c r="AG175" s="56">
        <f t="shared" si="33"/>
        <v>-1</v>
      </c>
      <c r="AH175" s="56">
        <f t="shared" si="34"/>
        <v>1</v>
      </c>
      <c r="AI175" s="56">
        <f t="shared" si="35"/>
        <v>0</v>
      </c>
      <c r="AJ175" s="56">
        <f t="shared" si="36"/>
        <v>0</v>
      </c>
      <c r="AK175" s="56">
        <f t="shared" si="37"/>
        <v>0</v>
      </c>
      <c r="AL175" s="56">
        <f t="shared" si="38"/>
        <v>0</v>
      </c>
      <c r="AM175" s="56">
        <f t="shared" si="39"/>
        <v>0</v>
      </c>
      <c r="AN175" s="56">
        <f t="shared" si="40"/>
        <v>0</v>
      </c>
      <c r="AO175" s="58">
        <f t="shared" si="41"/>
        <v>0</v>
      </c>
      <c r="AP175" s="69"/>
      <c r="AQ175" s="40">
        <v>0</v>
      </c>
      <c r="AR175" s="40">
        <f t="shared" si="46"/>
        <v>0</v>
      </c>
      <c r="AS175" s="31">
        <v>0</v>
      </c>
      <c r="AT175" s="31">
        <v>0</v>
      </c>
      <c r="AU175" s="31">
        <v>0</v>
      </c>
      <c r="AV175" s="39">
        <v>0</v>
      </c>
      <c r="AW175" s="31"/>
      <c r="AX175" s="31"/>
      <c r="AY175" s="31"/>
      <c r="AZ175" s="31"/>
      <c r="BA175" s="39"/>
      <c r="BB175" s="152">
        <f t="shared" si="42"/>
        <v>0</v>
      </c>
      <c r="BC175" s="43">
        <v>514120</v>
      </c>
      <c r="BD175" s="43">
        <v>173638</v>
      </c>
      <c r="BE175" t="s">
        <v>1428</v>
      </c>
      <c r="BF175"/>
    </row>
    <row r="176" spans="1:66" ht="15" customHeight="1" x14ac:dyDescent="0.25">
      <c r="A176" s="56" t="s">
        <v>900</v>
      </c>
      <c r="B176" s="19" t="s">
        <v>38</v>
      </c>
      <c r="C176" s="56"/>
      <c r="D176" s="34">
        <v>43698</v>
      </c>
      <c r="E176" s="34">
        <v>44794</v>
      </c>
      <c r="F176" s="37">
        <v>43773</v>
      </c>
      <c r="G176" s="19"/>
      <c r="H176" s="33" t="s">
        <v>1101</v>
      </c>
      <c r="I176" s="19" t="s">
        <v>1173</v>
      </c>
      <c r="J176" s="19"/>
      <c r="K176" s="56" t="s">
        <v>901</v>
      </c>
      <c r="L176" s="57" t="s">
        <v>902</v>
      </c>
      <c r="M176" s="56" t="s">
        <v>903</v>
      </c>
      <c r="N176" s="56">
        <v>1</v>
      </c>
      <c r="O176" s="56">
        <v>1</v>
      </c>
      <c r="P176" s="56"/>
      <c r="Q176" s="56"/>
      <c r="R176" s="56"/>
      <c r="S176" s="56"/>
      <c r="T176" s="56"/>
      <c r="U176" s="56"/>
      <c r="V176" s="56">
        <f t="shared" si="45"/>
        <v>2</v>
      </c>
      <c r="W176" s="56"/>
      <c r="X176" s="56"/>
      <c r="Y176" s="56"/>
      <c r="Z176" s="56"/>
      <c r="AA176" s="56"/>
      <c r="AB176" s="56">
        <v>1</v>
      </c>
      <c r="AC176" s="56"/>
      <c r="AD176" s="56"/>
      <c r="AE176" s="56"/>
      <c r="AF176" s="56">
        <f t="shared" si="32"/>
        <v>1</v>
      </c>
      <c r="AG176" s="56">
        <f t="shared" si="33"/>
        <v>-1</v>
      </c>
      <c r="AH176" s="56">
        <f t="shared" si="34"/>
        <v>-1</v>
      </c>
      <c r="AI176" s="56">
        <f t="shared" si="35"/>
        <v>0</v>
      </c>
      <c r="AJ176" s="56">
        <f t="shared" si="36"/>
        <v>0</v>
      </c>
      <c r="AK176" s="56">
        <f t="shared" si="37"/>
        <v>1</v>
      </c>
      <c r="AL176" s="56">
        <f t="shared" si="38"/>
        <v>0</v>
      </c>
      <c r="AM176" s="56">
        <f t="shared" si="39"/>
        <v>0</v>
      </c>
      <c r="AN176" s="56">
        <f t="shared" si="40"/>
        <v>0</v>
      </c>
      <c r="AO176" s="58">
        <f t="shared" si="41"/>
        <v>-1</v>
      </c>
      <c r="AP176" s="69"/>
      <c r="AQ176" s="40">
        <v>0</v>
      </c>
      <c r="AR176" s="40">
        <f t="shared" si="46"/>
        <v>-1</v>
      </c>
      <c r="AS176" s="31">
        <v>0</v>
      </c>
      <c r="AT176" s="31">
        <v>0</v>
      </c>
      <c r="AU176" s="31">
        <v>0</v>
      </c>
      <c r="AV176" s="39">
        <v>0</v>
      </c>
      <c r="AW176" s="31"/>
      <c r="AX176" s="31"/>
      <c r="AY176" s="31"/>
      <c r="AZ176" s="31"/>
      <c r="BA176" s="39"/>
      <c r="BB176" s="152">
        <f t="shared" si="42"/>
        <v>-1</v>
      </c>
      <c r="BC176" s="43">
        <v>518458</v>
      </c>
      <c r="BD176" s="43">
        <v>175501</v>
      </c>
      <c r="BE176" t="s">
        <v>1422</v>
      </c>
      <c r="BF176"/>
    </row>
    <row r="177" spans="1:66" ht="15" customHeight="1" x14ac:dyDescent="0.25">
      <c r="A177" s="56" t="s">
        <v>908</v>
      </c>
      <c r="B177" s="19" t="s">
        <v>31</v>
      </c>
      <c r="C177" s="56" t="s">
        <v>1203</v>
      </c>
      <c r="D177" s="34">
        <v>43594</v>
      </c>
      <c r="E177" s="34">
        <v>44690</v>
      </c>
      <c r="F177" s="37">
        <v>43892</v>
      </c>
      <c r="G177" s="19"/>
      <c r="H177" s="33" t="s">
        <v>1101</v>
      </c>
      <c r="I177" s="19" t="s">
        <v>1173</v>
      </c>
      <c r="J177" s="19"/>
      <c r="K177" s="56" t="s">
        <v>909</v>
      </c>
      <c r="L177" s="57" t="s">
        <v>910</v>
      </c>
      <c r="M177" s="56" t="s">
        <v>98</v>
      </c>
      <c r="N177" s="56"/>
      <c r="O177" s="56"/>
      <c r="P177" s="56"/>
      <c r="Q177" s="56"/>
      <c r="R177" s="56"/>
      <c r="S177" s="56"/>
      <c r="T177" s="56"/>
      <c r="U177" s="56"/>
      <c r="V177" s="56">
        <f t="shared" si="45"/>
        <v>0</v>
      </c>
      <c r="W177" s="56"/>
      <c r="X177" s="56">
        <v>3</v>
      </c>
      <c r="Y177" s="56"/>
      <c r="Z177" s="56"/>
      <c r="AA177" s="56"/>
      <c r="AB177" s="56"/>
      <c r="AC177" s="56"/>
      <c r="AD177" s="56"/>
      <c r="AE177" s="56"/>
      <c r="AF177" s="56">
        <f t="shared" si="32"/>
        <v>3</v>
      </c>
      <c r="AG177" s="56">
        <f t="shared" si="33"/>
        <v>3</v>
      </c>
      <c r="AH177" s="56">
        <f t="shared" si="34"/>
        <v>0</v>
      </c>
      <c r="AI177" s="56">
        <f t="shared" si="35"/>
        <v>0</v>
      </c>
      <c r="AJ177" s="56">
        <f t="shared" si="36"/>
        <v>0</v>
      </c>
      <c r="AK177" s="56">
        <f t="shared" si="37"/>
        <v>0</v>
      </c>
      <c r="AL177" s="56">
        <f t="shared" si="38"/>
        <v>0</v>
      </c>
      <c r="AM177" s="56">
        <f t="shared" si="39"/>
        <v>0</v>
      </c>
      <c r="AN177" s="56">
        <f t="shared" si="40"/>
        <v>0</v>
      </c>
      <c r="AO177" s="58">
        <f t="shared" si="41"/>
        <v>3</v>
      </c>
      <c r="AP177" s="69"/>
      <c r="AQ177" s="40">
        <v>0</v>
      </c>
      <c r="AR177" s="40">
        <f t="shared" si="46"/>
        <v>3</v>
      </c>
      <c r="AS177" s="31">
        <v>0</v>
      </c>
      <c r="AT177" s="31">
        <v>0</v>
      </c>
      <c r="AU177" s="31">
        <v>0</v>
      </c>
      <c r="AV177" s="39">
        <v>0</v>
      </c>
      <c r="AW177" s="31"/>
      <c r="AX177" s="31"/>
      <c r="AY177" s="31"/>
      <c r="AZ177" s="31"/>
      <c r="BA177" s="39"/>
      <c r="BB177" s="152">
        <f t="shared" si="42"/>
        <v>3</v>
      </c>
      <c r="BC177" s="43">
        <v>515069</v>
      </c>
      <c r="BD177" s="43">
        <v>172813</v>
      </c>
      <c r="BE177" t="s">
        <v>1427</v>
      </c>
      <c r="BF177"/>
    </row>
    <row r="178" spans="1:66" ht="15" customHeight="1" x14ac:dyDescent="0.25">
      <c r="A178" s="56" t="s">
        <v>918</v>
      </c>
      <c r="B178" s="19" t="s">
        <v>48</v>
      </c>
      <c r="C178" s="56"/>
      <c r="D178" s="34">
        <v>43619</v>
      </c>
      <c r="E178" s="34">
        <v>44716</v>
      </c>
      <c r="F178" s="37">
        <v>43731</v>
      </c>
      <c r="G178" s="37">
        <v>43986</v>
      </c>
      <c r="H178" s="33" t="s">
        <v>1101</v>
      </c>
      <c r="I178" s="19" t="s">
        <v>1173</v>
      </c>
      <c r="J178" s="19"/>
      <c r="K178" s="56" t="s">
        <v>919</v>
      </c>
      <c r="L178" s="57" t="s">
        <v>920</v>
      </c>
      <c r="M178" s="56" t="s">
        <v>921</v>
      </c>
      <c r="N178" s="56"/>
      <c r="O178" s="56"/>
      <c r="P178" s="56"/>
      <c r="Q178" s="56"/>
      <c r="R178" s="56"/>
      <c r="S178" s="56"/>
      <c r="T178" s="56"/>
      <c r="U178" s="56"/>
      <c r="V178" s="56">
        <f t="shared" si="45"/>
        <v>0</v>
      </c>
      <c r="W178" s="56"/>
      <c r="X178" s="56">
        <v>1</v>
      </c>
      <c r="Y178" s="56"/>
      <c r="Z178" s="56"/>
      <c r="AA178" s="56"/>
      <c r="AB178" s="56"/>
      <c r="AC178" s="56"/>
      <c r="AD178" s="56"/>
      <c r="AE178" s="56"/>
      <c r="AF178" s="56">
        <f t="shared" si="32"/>
        <v>1</v>
      </c>
      <c r="AG178" s="56">
        <f t="shared" si="33"/>
        <v>1</v>
      </c>
      <c r="AH178" s="56">
        <f t="shared" si="34"/>
        <v>0</v>
      </c>
      <c r="AI178" s="56">
        <f t="shared" si="35"/>
        <v>0</v>
      </c>
      <c r="AJ178" s="56">
        <f t="shared" si="36"/>
        <v>0</v>
      </c>
      <c r="AK178" s="56">
        <f t="shared" si="37"/>
        <v>0</v>
      </c>
      <c r="AL178" s="56">
        <f t="shared" si="38"/>
        <v>0</v>
      </c>
      <c r="AM178" s="56">
        <f t="shared" si="39"/>
        <v>0</v>
      </c>
      <c r="AN178" s="56">
        <f t="shared" si="40"/>
        <v>0</v>
      </c>
      <c r="AO178" s="58">
        <f t="shared" si="41"/>
        <v>1</v>
      </c>
      <c r="AP178" s="69"/>
      <c r="AQ178" s="40">
        <v>0</v>
      </c>
      <c r="AR178" s="40">
        <f t="shared" si="46"/>
        <v>1</v>
      </c>
      <c r="AS178" s="31">
        <v>0</v>
      </c>
      <c r="AT178" s="31">
        <v>0</v>
      </c>
      <c r="AU178" s="31">
        <v>0</v>
      </c>
      <c r="AV178" s="39">
        <v>0</v>
      </c>
      <c r="AW178" s="31"/>
      <c r="AX178" s="31"/>
      <c r="AY178" s="31"/>
      <c r="AZ178" s="31"/>
      <c r="BA178" s="39"/>
      <c r="BB178" s="152">
        <f t="shared" si="42"/>
        <v>1</v>
      </c>
      <c r="BC178" s="43">
        <v>516556</v>
      </c>
      <c r="BD178" s="43">
        <v>175236</v>
      </c>
      <c r="BE178" t="s">
        <v>1488</v>
      </c>
      <c r="BF178"/>
    </row>
    <row r="179" spans="1:66" ht="15" customHeight="1" x14ac:dyDescent="0.25">
      <c r="A179" s="56" t="s">
        <v>922</v>
      </c>
      <c r="B179" s="19" t="s">
        <v>31</v>
      </c>
      <c r="C179" s="56"/>
      <c r="D179" s="34">
        <v>43689</v>
      </c>
      <c r="E179" s="34">
        <v>44785</v>
      </c>
      <c r="F179" s="37">
        <v>43864</v>
      </c>
      <c r="G179" s="19"/>
      <c r="H179" s="33" t="s">
        <v>1101</v>
      </c>
      <c r="I179" s="19" t="s">
        <v>1173</v>
      </c>
      <c r="J179" s="19"/>
      <c r="K179" s="56" t="s">
        <v>923</v>
      </c>
      <c r="L179" s="57" t="s">
        <v>924</v>
      </c>
      <c r="M179" s="56" t="s">
        <v>574</v>
      </c>
      <c r="N179" s="56"/>
      <c r="O179" s="56"/>
      <c r="P179" s="56"/>
      <c r="Q179" s="56"/>
      <c r="R179" s="56"/>
      <c r="S179" s="56"/>
      <c r="T179" s="56"/>
      <c r="U179" s="56"/>
      <c r="V179" s="56">
        <f t="shared" si="45"/>
        <v>0</v>
      </c>
      <c r="W179" s="56"/>
      <c r="X179" s="56"/>
      <c r="Y179" s="56"/>
      <c r="Z179" s="56">
        <v>1</v>
      </c>
      <c r="AA179" s="56"/>
      <c r="AB179" s="56"/>
      <c r="AC179" s="56"/>
      <c r="AD179" s="56"/>
      <c r="AE179" s="56"/>
      <c r="AF179" s="56">
        <f t="shared" si="32"/>
        <v>1</v>
      </c>
      <c r="AG179" s="56">
        <f t="shared" si="33"/>
        <v>0</v>
      </c>
      <c r="AH179" s="56">
        <f t="shared" si="34"/>
        <v>0</v>
      </c>
      <c r="AI179" s="56">
        <f t="shared" si="35"/>
        <v>1</v>
      </c>
      <c r="AJ179" s="56">
        <f t="shared" si="36"/>
        <v>0</v>
      </c>
      <c r="AK179" s="56">
        <f t="shared" si="37"/>
        <v>0</v>
      </c>
      <c r="AL179" s="56">
        <f t="shared" si="38"/>
        <v>0</v>
      </c>
      <c r="AM179" s="56">
        <f t="shared" si="39"/>
        <v>0</v>
      </c>
      <c r="AN179" s="56">
        <f t="shared" si="40"/>
        <v>0</v>
      </c>
      <c r="AO179" s="58">
        <f t="shared" si="41"/>
        <v>1</v>
      </c>
      <c r="AP179" s="69"/>
      <c r="AQ179" s="40">
        <v>0</v>
      </c>
      <c r="AR179" s="40">
        <f t="shared" si="46"/>
        <v>1</v>
      </c>
      <c r="AS179" s="31">
        <v>0</v>
      </c>
      <c r="AT179" s="31">
        <v>0</v>
      </c>
      <c r="AU179" s="31">
        <v>0</v>
      </c>
      <c r="AV179" s="39">
        <v>0</v>
      </c>
      <c r="AW179" s="31"/>
      <c r="AX179" s="31"/>
      <c r="AY179" s="31"/>
      <c r="AZ179" s="31"/>
      <c r="BA179" s="39"/>
      <c r="BB179" s="152">
        <f t="shared" si="42"/>
        <v>1</v>
      </c>
      <c r="BC179" s="43">
        <v>518999</v>
      </c>
      <c r="BD179" s="43">
        <v>177227</v>
      </c>
      <c r="BE179" t="s">
        <v>1420</v>
      </c>
      <c r="BF179"/>
      <c r="BM179" t="s">
        <v>1545</v>
      </c>
      <c r="BN179" t="s">
        <v>1524</v>
      </c>
    </row>
    <row r="180" spans="1:66" ht="15" customHeight="1" x14ac:dyDescent="0.25">
      <c r="A180" s="56" t="s">
        <v>928</v>
      </c>
      <c r="B180" s="19" t="s">
        <v>31</v>
      </c>
      <c r="C180" s="56"/>
      <c r="D180" s="34">
        <v>43690</v>
      </c>
      <c r="E180" s="34">
        <v>44786</v>
      </c>
      <c r="F180" s="37">
        <v>43858</v>
      </c>
      <c r="G180" s="19"/>
      <c r="H180" s="33" t="s">
        <v>1101</v>
      </c>
      <c r="I180" s="19" t="s">
        <v>1173</v>
      </c>
      <c r="J180" s="19"/>
      <c r="K180" s="56" t="s">
        <v>929</v>
      </c>
      <c r="L180" s="57" t="s">
        <v>930</v>
      </c>
      <c r="M180" s="56" t="s">
        <v>931</v>
      </c>
      <c r="N180" s="56"/>
      <c r="O180" s="56"/>
      <c r="P180" s="56"/>
      <c r="Q180" s="56"/>
      <c r="R180" s="56"/>
      <c r="S180" s="56"/>
      <c r="T180" s="56"/>
      <c r="U180" s="56"/>
      <c r="V180" s="56">
        <f t="shared" si="45"/>
        <v>0</v>
      </c>
      <c r="W180" s="56"/>
      <c r="X180" s="56">
        <v>1</v>
      </c>
      <c r="Y180" s="56"/>
      <c r="Z180" s="56"/>
      <c r="AA180" s="56"/>
      <c r="AB180" s="56"/>
      <c r="AC180" s="56"/>
      <c r="AD180" s="56"/>
      <c r="AE180" s="56"/>
      <c r="AF180" s="56">
        <f t="shared" si="32"/>
        <v>1</v>
      </c>
      <c r="AG180" s="56">
        <f t="shared" si="33"/>
        <v>1</v>
      </c>
      <c r="AH180" s="56">
        <f t="shared" si="34"/>
        <v>0</v>
      </c>
      <c r="AI180" s="56">
        <f t="shared" si="35"/>
        <v>0</v>
      </c>
      <c r="AJ180" s="56">
        <f t="shared" si="36"/>
        <v>0</v>
      </c>
      <c r="AK180" s="56">
        <f t="shared" si="37"/>
        <v>0</v>
      </c>
      <c r="AL180" s="56">
        <f t="shared" si="38"/>
        <v>0</v>
      </c>
      <c r="AM180" s="56">
        <f t="shared" si="39"/>
        <v>0</v>
      </c>
      <c r="AN180" s="56">
        <f t="shared" si="40"/>
        <v>0</v>
      </c>
      <c r="AO180" s="58">
        <f t="shared" si="41"/>
        <v>1</v>
      </c>
      <c r="AP180" s="69"/>
      <c r="AQ180" s="40">
        <v>0</v>
      </c>
      <c r="AR180" s="40">
        <f t="shared" si="46"/>
        <v>1</v>
      </c>
      <c r="AS180" s="31">
        <v>0</v>
      </c>
      <c r="AT180" s="31">
        <v>0</v>
      </c>
      <c r="AU180" s="31">
        <v>0</v>
      </c>
      <c r="AV180" s="39">
        <v>0</v>
      </c>
      <c r="AW180" s="31"/>
      <c r="AX180" s="31"/>
      <c r="AY180" s="31"/>
      <c r="AZ180" s="31"/>
      <c r="BA180" s="39"/>
      <c r="BB180" s="152">
        <f t="shared" si="42"/>
        <v>1</v>
      </c>
      <c r="BC180" s="43">
        <v>517726</v>
      </c>
      <c r="BD180" s="43">
        <v>174837</v>
      </c>
      <c r="BE180" t="s">
        <v>1423</v>
      </c>
      <c r="BF180"/>
      <c r="BG180" t="s">
        <v>1403</v>
      </c>
      <c r="BM180" t="s">
        <v>1545</v>
      </c>
      <c r="BN180" t="s">
        <v>1523</v>
      </c>
    </row>
    <row r="181" spans="1:66" ht="15" customHeight="1" x14ac:dyDescent="0.25">
      <c r="A181" s="56" t="s">
        <v>932</v>
      </c>
      <c r="B181" s="19" t="s">
        <v>20</v>
      </c>
      <c r="C181" s="56"/>
      <c r="D181" s="34">
        <v>43754</v>
      </c>
      <c r="E181" s="34">
        <v>44110</v>
      </c>
      <c r="F181" s="37">
        <v>43670</v>
      </c>
      <c r="G181" s="19"/>
      <c r="H181" s="33" t="s">
        <v>1101</v>
      </c>
      <c r="I181" s="19" t="s">
        <v>1173</v>
      </c>
      <c r="J181" s="19"/>
      <c r="K181" s="56" t="s">
        <v>933</v>
      </c>
      <c r="L181" s="57" t="s">
        <v>934</v>
      </c>
      <c r="M181" s="56" t="s">
        <v>935</v>
      </c>
      <c r="N181" s="56"/>
      <c r="O181" s="56">
        <v>2</v>
      </c>
      <c r="P181" s="56">
        <v>1</v>
      </c>
      <c r="Q181" s="56"/>
      <c r="R181" s="56"/>
      <c r="S181" s="56"/>
      <c r="T181" s="56"/>
      <c r="U181" s="56"/>
      <c r="V181" s="56">
        <f t="shared" si="45"/>
        <v>3</v>
      </c>
      <c r="W181" s="56"/>
      <c r="X181" s="56"/>
      <c r="Y181" s="56"/>
      <c r="Z181" s="56"/>
      <c r="AA181" s="56">
        <v>3</v>
      </c>
      <c r="AB181" s="56"/>
      <c r="AC181" s="56"/>
      <c r="AD181" s="56"/>
      <c r="AE181" s="56">
        <v>0</v>
      </c>
      <c r="AF181" s="56">
        <f t="shared" si="32"/>
        <v>3</v>
      </c>
      <c r="AG181" s="56">
        <f t="shared" si="33"/>
        <v>0</v>
      </c>
      <c r="AH181" s="56">
        <f t="shared" si="34"/>
        <v>-2</v>
      </c>
      <c r="AI181" s="56">
        <f t="shared" si="35"/>
        <v>-1</v>
      </c>
      <c r="AJ181" s="56">
        <f t="shared" si="36"/>
        <v>3</v>
      </c>
      <c r="AK181" s="56">
        <f t="shared" si="37"/>
        <v>0</v>
      </c>
      <c r="AL181" s="56">
        <f t="shared" si="38"/>
        <v>0</v>
      </c>
      <c r="AM181" s="56">
        <f t="shared" si="39"/>
        <v>0</v>
      </c>
      <c r="AN181" s="56">
        <f t="shared" si="40"/>
        <v>0</v>
      </c>
      <c r="AO181" s="58">
        <f t="shared" si="41"/>
        <v>0</v>
      </c>
      <c r="AP181" s="69"/>
      <c r="AQ181" s="40">
        <v>0</v>
      </c>
      <c r="AR181" s="40">
        <f t="shared" si="46"/>
        <v>0</v>
      </c>
      <c r="AS181" s="31">
        <v>0</v>
      </c>
      <c r="AT181" s="31">
        <v>0</v>
      </c>
      <c r="AU181" s="31">
        <v>0</v>
      </c>
      <c r="AV181" s="39">
        <v>0</v>
      </c>
      <c r="AW181" s="31"/>
      <c r="AX181" s="31"/>
      <c r="AY181" s="31"/>
      <c r="AZ181" s="31"/>
      <c r="BA181" s="39"/>
      <c r="BB181" s="152">
        <f t="shared" si="42"/>
        <v>0</v>
      </c>
      <c r="BC181" s="43">
        <v>518209</v>
      </c>
      <c r="BD181" s="43">
        <v>174625</v>
      </c>
      <c r="BE181" t="s">
        <v>1423</v>
      </c>
      <c r="BF181"/>
      <c r="BM181" t="s">
        <v>1545</v>
      </c>
      <c r="BN181" t="s">
        <v>1493</v>
      </c>
    </row>
    <row r="182" spans="1:66" ht="15" customHeight="1" x14ac:dyDescent="0.25">
      <c r="A182" s="56" t="s">
        <v>936</v>
      </c>
      <c r="B182" s="19" t="s">
        <v>38</v>
      </c>
      <c r="C182" s="56"/>
      <c r="D182" s="34">
        <v>43679</v>
      </c>
      <c r="E182" s="34">
        <v>44775</v>
      </c>
      <c r="F182" s="37">
        <v>43872</v>
      </c>
      <c r="G182" s="19"/>
      <c r="H182" s="33" t="s">
        <v>1101</v>
      </c>
      <c r="I182" s="19" t="s">
        <v>1173</v>
      </c>
      <c r="J182" s="19"/>
      <c r="K182" s="56" t="s">
        <v>937</v>
      </c>
      <c r="L182" s="57" t="s">
        <v>938</v>
      </c>
      <c r="M182" s="56" t="s">
        <v>411</v>
      </c>
      <c r="N182" s="56"/>
      <c r="O182" s="56"/>
      <c r="P182" s="56"/>
      <c r="Q182" s="56"/>
      <c r="R182" s="56"/>
      <c r="S182" s="56"/>
      <c r="T182" s="56"/>
      <c r="U182" s="56">
        <v>1</v>
      </c>
      <c r="V182" s="56">
        <f t="shared" si="45"/>
        <v>1</v>
      </c>
      <c r="W182" s="56"/>
      <c r="X182" s="56">
        <v>4</v>
      </c>
      <c r="Y182" s="56">
        <v>3</v>
      </c>
      <c r="Z182" s="56"/>
      <c r="AA182" s="56"/>
      <c r="AB182" s="56"/>
      <c r="AC182" s="56"/>
      <c r="AD182" s="56"/>
      <c r="AE182" s="56"/>
      <c r="AF182" s="56">
        <f t="shared" si="32"/>
        <v>7</v>
      </c>
      <c r="AG182" s="56">
        <f t="shared" si="33"/>
        <v>4</v>
      </c>
      <c r="AH182" s="56">
        <f t="shared" si="34"/>
        <v>3</v>
      </c>
      <c r="AI182" s="56">
        <f t="shared" si="35"/>
        <v>0</v>
      </c>
      <c r="AJ182" s="56">
        <f t="shared" si="36"/>
        <v>0</v>
      </c>
      <c r="AK182" s="56">
        <f t="shared" si="37"/>
        <v>0</v>
      </c>
      <c r="AL182" s="56">
        <f t="shared" si="38"/>
        <v>0</v>
      </c>
      <c r="AM182" s="56">
        <f t="shared" si="39"/>
        <v>0</v>
      </c>
      <c r="AN182" s="56">
        <f t="shared" si="40"/>
        <v>-1</v>
      </c>
      <c r="AO182" s="58">
        <f t="shared" si="41"/>
        <v>6</v>
      </c>
      <c r="AP182" s="69"/>
      <c r="AQ182" s="40">
        <v>0</v>
      </c>
      <c r="AR182" s="40">
        <f t="shared" si="46"/>
        <v>6</v>
      </c>
      <c r="AS182" s="31">
        <v>0</v>
      </c>
      <c r="AT182" s="31">
        <v>0</v>
      </c>
      <c r="AU182" s="31">
        <v>0</v>
      </c>
      <c r="AV182" s="39">
        <v>0</v>
      </c>
      <c r="AW182" s="31"/>
      <c r="AX182" s="31"/>
      <c r="AY182" s="31"/>
      <c r="AZ182" s="31"/>
      <c r="BA182" s="39"/>
      <c r="BB182" s="152">
        <f t="shared" si="42"/>
        <v>6</v>
      </c>
      <c r="BC182" s="43">
        <v>517453</v>
      </c>
      <c r="BD182" s="43">
        <v>169423</v>
      </c>
      <c r="BE182" t="s">
        <v>1418</v>
      </c>
      <c r="BF182"/>
      <c r="BI182" t="s">
        <v>1551</v>
      </c>
      <c r="BJ182" t="s">
        <v>1418</v>
      </c>
      <c r="BM182" t="s">
        <v>1545</v>
      </c>
      <c r="BN182" t="s">
        <v>1522</v>
      </c>
    </row>
    <row r="183" spans="1:66" ht="15" customHeight="1" x14ac:dyDescent="0.25">
      <c r="A183" s="56" t="s">
        <v>964</v>
      </c>
      <c r="B183" s="19" t="s">
        <v>31</v>
      </c>
      <c r="C183" s="56" t="s">
        <v>1203</v>
      </c>
      <c r="D183" s="34">
        <v>43657</v>
      </c>
      <c r="E183" s="34">
        <v>44753</v>
      </c>
      <c r="F183" s="37">
        <v>43678</v>
      </c>
      <c r="G183" s="37">
        <v>43987</v>
      </c>
      <c r="H183" s="36" t="s">
        <v>1101</v>
      </c>
      <c r="I183" s="19" t="s">
        <v>1173</v>
      </c>
      <c r="J183" s="19"/>
      <c r="K183" s="56" t="s">
        <v>965</v>
      </c>
      <c r="L183" s="57" t="s">
        <v>966</v>
      </c>
      <c r="M183" s="56" t="s">
        <v>967</v>
      </c>
      <c r="N183" s="56"/>
      <c r="O183" s="56"/>
      <c r="P183" s="56"/>
      <c r="Q183" s="56"/>
      <c r="R183" s="56"/>
      <c r="S183" s="56"/>
      <c r="T183" s="56"/>
      <c r="U183" s="56"/>
      <c r="V183" s="56">
        <f t="shared" si="45"/>
        <v>0</v>
      </c>
      <c r="W183" s="56"/>
      <c r="X183" s="56">
        <v>1</v>
      </c>
      <c r="Y183" s="56"/>
      <c r="Z183" s="56"/>
      <c r="AA183" s="56"/>
      <c r="AB183" s="56"/>
      <c r="AC183" s="56"/>
      <c r="AD183" s="56"/>
      <c r="AE183" s="56"/>
      <c r="AF183" s="56">
        <f t="shared" si="32"/>
        <v>1</v>
      </c>
      <c r="AG183" s="56">
        <f t="shared" si="33"/>
        <v>1</v>
      </c>
      <c r="AH183" s="56">
        <f t="shared" si="34"/>
        <v>0</v>
      </c>
      <c r="AI183" s="56">
        <f t="shared" si="35"/>
        <v>0</v>
      </c>
      <c r="AJ183" s="56">
        <f t="shared" si="36"/>
        <v>0</v>
      </c>
      <c r="AK183" s="56">
        <f t="shared" si="37"/>
        <v>0</v>
      </c>
      <c r="AL183" s="56">
        <f t="shared" si="38"/>
        <v>0</v>
      </c>
      <c r="AM183" s="56">
        <f t="shared" si="39"/>
        <v>0</v>
      </c>
      <c r="AN183" s="56">
        <f t="shared" si="40"/>
        <v>0</v>
      </c>
      <c r="AO183" s="58">
        <f t="shared" si="41"/>
        <v>1</v>
      </c>
      <c r="AP183" s="69"/>
      <c r="AQ183" s="40">
        <v>0</v>
      </c>
      <c r="AR183" s="40">
        <f t="shared" si="46"/>
        <v>1</v>
      </c>
      <c r="AS183" s="31">
        <v>0</v>
      </c>
      <c r="AT183" s="31">
        <v>0</v>
      </c>
      <c r="AU183" s="31">
        <v>0</v>
      </c>
      <c r="AV183" s="39">
        <v>0</v>
      </c>
      <c r="AW183" s="31"/>
      <c r="AX183" s="31"/>
      <c r="AY183" s="31"/>
      <c r="AZ183" s="31"/>
      <c r="BA183" s="39"/>
      <c r="BB183" s="152">
        <f t="shared" si="42"/>
        <v>1</v>
      </c>
      <c r="BC183" s="43">
        <v>514126</v>
      </c>
      <c r="BD183" s="43">
        <v>174159</v>
      </c>
      <c r="BE183" t="s">
        <v>1428</v>
      </c>
      <c r="BF183"/>
    </row>
    <row r="184" spans="1:66" ht="15" customHeight="1" x14ac:dyDescent="0.25">
      <c r="A184" s="56" t="s">
        <v>971</v>
      </c>
      <c r="B184" s="19" t="s">
        <v>38</v>
      </c>
      <c r="C184" s="56"/>
      <c r="D184" s="34">
        <v>43683</v>
      </c>
      <c r="E184" s="34">
        <v>44779</v>
      </c>
      <c r="F184" s="34">
        <v>43846</v>
      </c>
      <c r="G184" s="19"/>
      <c r="H184" s="33" t="s">
        <v>1101</v>
      </c>
      <c r="I184" s="19" t="s">
        <v>1173</v>
      </c>
      <c r="J184" s="19"/>
      <c r="K184" s="56" t="s">
        <v>972</v>
      </c>
      <c r="L184" s="57" t="s">
        <v>973</v>
      </c>
      <c r="M184" s="56" t="s">
        <v>525</v>
      </c>
      <c r="N184" s="56"/>
      <c r="O184" s="56"/>
      <c r="P184" s="56"/>
      <c r="Q184" s="56"/>
      <c r="R184" s="56">
        <v>1</v>
      </c>
      <c r="S184" s="56"/>
      <c r="T184" s="56"/>
      <c r="U184" s="56"/>
      <c r="V184" s="56">
        <f t="shared" si="45"/>
        <v>1</v>
      </c>
      <c r="W184" s="56"/>
      <c r="X184" s="56"/>
      <c r="Y184" s="56">
        <v>2</v>
      </c>
      <c r="Z184" s="56"/>
      <c r="AA184" s="56"/>
      <c r="AB184" s="56"/>
      <c r="AC184" s="56"/>
      <c r="AD184" s="56"/>
      <c r="AE184" s="56"/>
      <c r="AF184" s="56">
        <f t="shared" si="32"/>
        <v>2</v>
      </c>
      <c r="AG184" s="56">
        <f t="shared" si="33"/>
        <v>0</v>
      </c>
      <c r="AH184" s="56">
        <f t="shared" si="34"/>
        <v>2</v>
      </c>
      <c r="AI184" s="56">
        <f t="shared" si="35"/>
        <v>0</v>
      </c>
      <c r="AJ184" s="56">
        <f t="shared" si="36"/>
        <v>0</v>
      </c>
      <c r="AK184" s="56">
        <f t="shared" si="37"/>
        <v>-1</v>
      </c>
      <c r="AL184" s="56">
        <f t="shared" si="38"/>
        <v>0</v>
      </c>
      <c r="AM184" s="56">
        <f t="shared" si="39"/>
        <v>0</v>
      </c>
      <c r="AN184" s="56">
        <f t="shared" si="40"/>
        <v>0</v>
      </c>
      <c r="AO184" s="58">
        <f t="shared" si="41"/>
        <v>1</v>
      </c>
      <c r="AP184" s="69"/>
      <c r="AQ184" s="40">
        <v>0</v>
      </c>
      <c r="AR184" s="40">
        <f t="shared" si="46"/>
        <v>1</v>
      </c>
      <c r="AS184" s="31">
        <v>0</v>
      </c>
      <c r="AT184" s="31">
        <v>0</v>
      </c>
      <c r="AU184" s="31">
        <v>0</v>
      </c>
      <c r="AV184" s="39">
        <v>0</v>
      </c>
      <c r="AW184" s="31"/>
      <c r="AX184" s="31"/>
      <c r="AY184" s="31"/>
      <c r="AZ184" s="31"/>
      <c r="BA184" s="39"/>
      <c r="BB184" s="152">
        <f t="shared" si="42"/>
        <v>1</v>
      </c>
      <c r="BC184" s="43">
        <v>520308</v>
      </c>
      <c r="BD184" s="43">
        <v>175588</v>
      </c>
      <c r="BE184" t="s">
        <v>1402</v>
      </c>
      <c r="BF184"/>
    </row>
    <row r="185" spans="1:66" s="150" customFormat="1" ht="15" customHeight="1" x14ac:dyDescent="0.25">
      <c r="A185" s="56" t="s">
        <v>974</v>
      </c>
      <c r="B185" s="19" t="s">
        <v>31</v>
      </c>
      <c r="C185" s="56"/>
      <c r="D185" s="34">
        <v>43668</v>
      </c>
      <c r="E185" s="34">
        <v>44764</v>
      </c>
      <c r="F185" s="37">
        <v>43727</v>
      </c>
      <c r="G185" s="37">
        <v>44042</v>
      </c>
      <c r="H185" s="33" t="s">
        <v>1101</v>
      </c>
      <c r="I185" s="19" t="s">
        <v>1173</v>
      </c>
      <c r="J185" s="19"/>
      <c r="K185" s="56" t="s">
        <v>975</v>
      </c>
      <c r="L185" s="57" t="s">
        <v>976</v>
      </c>
      <c r="M185" s="56" t="s">
        <v>467</v>
      </c>
      <c r="N185" s="56"/>
      <c r="O185" s="56">
        <v>1</v>
      </c>
      <c r="P185" s="56"/>
      <c r="Q185" s="56"/>
      <c r="R185" s="56"/>
      <c r="S185" s="56"/>
      <c r="T185" s="56"/>
      <c r="U185" s="56"/>
      <c r="V185" s="56">
        <f t="shared" si="45"/>
        <v>1</v>
      </c>
      <c r="W185" s="56"/>
      <c r="X185" s="56"/>
      <c r="Y185" s="56"/>
      <c r="Z185" s="56">
        <v>1</v>
      </c>
      <c r="AA185" s="56"/>
      <c r="AB185" s="56"/>
      <c r="AC185" s="56"/>
      <c r="AD185" s="56"/>
      <c r="AE185" s="56"/>
      <c r="AF185" s="56">
        <f t="shared" si="32"/>
        <v>1</v>
      </c>
      <c r="AG185" s="56">
        <f t="shared" si="33"/>
        <v>0</v>
      </c>
      <c r="AH185" s="56">
        <f t="shared" si="34"/>
        <v>-1</v>
      </c>
      <c r="AI185" s="56">
        <f t="shared" si="35"/>
        <v>1</v>
      </c>
      <c r="AJ185" s="56">
        <f t="shared" si="36"/>
        <v>0</v>
      </c>
      <c r="AK185" s="56">
        <f t="shared" si="37"/>
        <v>0</v>
      </c>
      <c r="AL185" s="56">
        <f t="shared" si="38"/>
        <v>0</v>
      </c>
      <c r="AM185" s="56">
        <f t="shared" si="39"/>
        <v>0</v>
      </c>
      <c r="AN185" s="56">
        <f t="shared" si="40"/>
        <v>0</v>
      </c>
      <c r="AO185" s="58">
        <f t="shared" si="41"/>
        <v>0</v>
      </c>
      <c r="AP185" s="248"/>
      <c r="AQ185" s="40">
        <v>0</v>
      </c>
      <c r="AR185" s="40">
        <f t="shared" si="46"/>
        <v>0</v>
      </c>
      <c r="AS185" s="31">
        <v>0</v>
      </c>
      <c r="AT185" s="31">
        <v>0</v>
      </c>
      <c r="AU185" s="31">
        <v>0</v>
      </c>
      <c r="AV185" s="39">
        <v>0</v>
      </c>
      <c r="AW185" s="31"/>
      <c r="AX185" s="31"/>
      <c r="AY185" s="31"/>
      <c r="AZ185" s="31"/>
      <c r="BA185" s="39"/>
      <c r="BB185" s="152">
        <f t="shared" si="42"/>
        <v>0</v>
      </c>
      <c r="BC185" s="43">
        <v>521312</v>
      </c>
      <c r="BD185" s="43">
        <v>175859</v>
      </c>
      <c r="BE185" s="150" t="s">
        <v>1459</v>
      </c>
      <c r="BI185" s="150" t="s">
        <v>1551</v>
      </c>
      <c r="BJ185" s="150" t="s">
        <v>1494</v>
      </c>
    </row>
    <row r="186" spans="1:66" ht="15" customHeight="1" x14ac:dyDescent="0.25">
      <c r="A186" s="56" t="s">
        <v>980</v>
      </c>
      <c r="B186" s="19" t="s">
        <v>31</v>
      </c>
      <c r="C186" s="56" t="s">
        <v>1203</v>
      </c>
      <c r="D186" s="34">
        <v>43672</v>
      </c>
      <c r="E186" s="34">
        <v>44289</v>
      </c>
      <c r="F186" s="19"/>
      <c r="G186" s="37">
        <v>43941</v>
      </c>
      <c r="H186" s="33" t="s">
        <v>1101</v>
      </c>
      <c r="I186" s="19" t="s">
        <v>1173</v>
      </c>
      <c r="J186" s="19"/>
      <c r="K186" s="56" t="s">
        <v>981</v>
      </c>
      <c r="L186" s="57" t="s">
        <v>982</v>
      </c>
      <c r="M186" s="56" t="s">
        <v>983</v>
      </c>
      <c r="N186" s="56"/>
      <c r="O186" s="56"/>
      <c r="P186" s="56"/>
      <c r="Q186" s="56"/>
      <c r="R186" s="56"/>
      <c r="S186" s="56"/>
      <c r="T186" s="56"/>
      <c r="U186" s="56"/>
      <c r="V186" s="56">
        <f t="shared" si="45"/>
        <v>0</v>
      </c>
      <c r="W186" s="56"/>
      <c r="X186" s="56">
        <v>2</v>
      </c>
      <c r="Y186" s="56"/>
      <c r="Z186" s="56"/>
      <c r="AA186" s="56"/>
      <c r="AB186" s="56"/>
      <c r="AC186" s="56"/>
      <c r="AD186" s="56"/>
      <c r="AE186" s="56"/>
      <c r="AF186" s="56">
        <f t="shared" si="32"/>
        <v>2</v>
      </c>
      <c r="AG186" s="56">
        <f t="shared" si="33"/>
        <v>2</v>
      </c>
      <c r="AH186" s="56">
        <f t="shared" si="34"/>
        <v>0</v>
      </c>
      <c r="AI186" s="56">
        <f t="shared" si="35"/>
        <v>0</v>
      </c>
      <c r="AJ186" s="56">
        <f t="shared" si="36"/>
        <v>0</v>
      </c>
      <c r="AK186" s="56">
        <f t="shared" si="37"/>
        <v>0</v>
      </c>
      <c r="AL186" s="56">
        <f t="shared" si="38"/>
        <v>0</v>
      </c>
      <c r="AM186" s="56">
        <f t="shared" si="39"/>
        <v>0</v>
      </c>
      <c r="AN186" s="56">
        <f t="shared" si="40"/>
        <v>0</v>
      </c>
      <c r="AO186" s="58">
        <f t="shared" si="41"/>
        <v>2</v>
      </c>
      <c r="AP186" s="69"/>
      <c r="AQ186" s="40">
        <v>0</v>
      </c>
      <c r="AR186" s="40">
        <f t="shared" si="46"/>
        <v>2</v>
      </c>
      <c r="AS186" s="31">
        <v>0</v>
      </c>
      <c r="AT186" s="31">
        <v>0</v>
      </c>
      <c r="AU186" s="31">
        <v>0</v>
      </c>
      <c r="AV186" s="39">
        <v>0</v>
      </c>
      <c r="AW186" s="31"/>
      <c r="AX186" s="31"/>
      <c r="AY186" s="31"/>
      <c r="AZ186" s="31"/>
      <c r="BA186" s="39"/>
      <c r="BB186" s="152">
        <f t="shared" si="42"/>
        <v>2</v>
      </c>
      <c r="BC186" s="43">
        <v>518741</v>
      </c>
      <c r="BD186" s="43">
        <v>175360</v>
      </c>
      <c r="BE186" t="s">
        <v>1422</v>
      </c>
      <c r="BF186"/>
    </row>
    <row r="187" spans="1:66" ht="15" customHeight="1" x14ac:dyDescent="0.25">
      <c r="A187" s="56" t="s">
        <v>984</v>
      </c>
      <c r="B187" s="19" t="s">
        <v>31</v>
      </c>
      <c r="C187" s="56"/>
      <c r="D187" s="34">
        <v>43756</v>
      </c>
      <c r="E187" s="34">
        <v>44852</v>
      </c>
      <c r="F187" s="37">
        <v>43921</v>
      </c>
      <c r="G187" s="19"/>
      <c r="H187" s="33" t="s">
        <v>1101</v>
      </c>
      <c r="I187" s="19" t="s">
        <v>1173</v>
      </c>
      <c r="J187" s="19"/>
      <c r="K187" s="56" t="s">
        <v>985</v>
      </c>
      <c r="L187" s="57" t="s">
        <v>986</v>
      </c>
      <c r="M187" s="56" t="s">
        <v>98</v>
      </c>
      <c r="N187" s="56"/>
      <c r="O187" s="56"/>
      <c r="P187" s="56">
        <v>1</v>
      </c>
      <c r="Q187" s="56"/>
      <c r="R187" s="56"/>
      <c r="S187" s="56"/>
      <c r="T187" s="56"/>
      <c r="U187" s="56"/>
      <c r="V187" s="56">
        <f t="shared" si="45"/>
        <v>1</v>
      </c>
      <c r="W187" s="56"/>
      <c r="X187" s="56"/>
      <c r="Y187" s="56">
        <v>2</v>
      </c>
      <c r="Z187" s="56"/>
      <c r="AA187" s="56"/>
      <c r="AB187" s="56"/>
      <c r="AC187" s="56"/>
      <c r="AD187" s="56"/>
      <c r="AE187" s="56"/>
      <c r="AF187" s="56">
        <f t="shared" si="32"/>
        <v>2</v>
      </c>
      <c r="AG187" s="56">
        <f t="shared" si="33"/>
        <v>0</v>
      </c>
      <c r="AH187" s="56">
        <f t="shared" si="34"/>
        <v>2</v>
      </c>
      <c r="AI187" s="56">
        <f t="shared" si="35"/>
        <v>-1</v>
      </c>
      <c r="AJ187" s="56">
        <f t="shared" si="36"/>
        <v>0</v>
      </c>
      <c r="AK187" s="56">
        <f t="shared" si="37"/>
        <v>0</v>
      </c>
      <c r="AL187" s="56">
        <f t="shared" si="38"/>
        <v>0</v>
      </c>
      <c r="AM187" s="56">
        <f t="shared" si="39"/>
        <v>0</v>
      </c>
      <c r="AN187" s="56">
        <f t="shared" si="40"/>
        <v>0</v>
      </c>
      <c r="AO187" s="58">
        <f t="shared" si="41"/>
        <v>1</v>
      </c>
      <c r="AP187" s="69"/>
      <c r="AQ187" s="40">
        <v>0</v>
      </c>
      <c r="AR187" s="40">
        <f t="shared" si="46"/>
        <v>1</v>
      </c>
      <c r="AS187" s="31">
        <v>0</v>
      </c>
      <c r="AT187" s="31">
        <v>0</v>
      </c>
      <c r="AU187" s="31">
        <v>0</v>
      </c>
      <c r="AV187" s="39">
        <v>0</v>
      </c>
      <c r="AW187" s="31"/>
      <c r="AX187" s="31"/>
      <c r="AY187" s="31"/>
      <c r="AZ187" s="31"/>
      <c r="BA187" s="39"/>
      <c r="BB187" s="152">
        <f t="shared" si="42"/>
        <v>1</v>
      </c>
      <c r="BC187" s="43">
        <v>515069</v>
      </c>
      <c r="BD187" s="43">
        <v>172813</v>
      </c>
      <c r="BE187" t="s">
        <v>1427</v>
      </c>
      <c r="BF187"/>
    </row>
    <row r="188" spans="1:66" ht="15" customHeight="1" x14ac:dyDescent="0.25">
      <c r="A188" s="56" t="s">
        <v>1012</v>
      </c>
      <c r="B188" s="19" t="s">
        <v>38</v>
      </c>
      <c r="C188" s="56"/>
      <c r="D188" s="34">
        <v>43780</v>
      </c>
      <c r="E188" s="34">
        <v>44876</v>
      </c>
      <c r="F188" s="37">
        <v>43787</v>
      </c>
      <c r="G188" s="19"/>
      <c r="H188" s="33" t="s">
        <v>1101</v>
      </c>
      <c r="I188" s="19" t="s">
        <v>1173</v>
      </c>
      <c r="J188" s="19"/>
      <c r="K188" s="56" t="s">
        <v>1013</v>
      </c>
      <c r="L188" s="57" t="s">
        <v>1014</v>
      </c>
      <c r="M188" s="56" t="s">
        <v>1015</v>
      </c>
      <c r="N188" s="56">
        <v>1</v>
      </c>
      <c r="O188" s="56"/>
      <c r="P188" s="56"/>
      <c r="Q188" s="56"/>
      <c r="R188" s="56"/>
      <c r="S188" s="56">
        <v>1</v>
      </c>
      <c r="T188" s="56"/>
      <c r="U188" s="56"/>
      <c r="V188" s="56">
        <f t="shared" si="45"/>
        <v>2</v>
      </c>
      <c r="W188" s="56"/>
      <c r="X188" s="56"/>
      <c r="Y188" s="56"/>
      <c r="Z188" s="56"/>
      <c r="AA188" s="56"/>
      <c r="AB188" s="56"/>
      <c r="AC188" s="56">
        <v>1</v>
      </c>
      <c r="AD188" s="56"/>
      <c r="AE188" s="56"/>
      <c r="AF188" s="56">
        <f t="shared" si="32"/>
        <v>1</v>
      </c>
      <c r="AG188" s="56">
        <f t="shared" si="33"/>
        <v>-1</v>
      </c>
      <c r="AH188" s="56">
        <f t="shared" si="34"/>
        <v>0</v>
      </c>
      <c r="AI188" s="56">
        <f t="shared" si="35"/>
        <v>0</v>
      </c>
      <c r="AJ188" s="56">
        <f t="shared" si="36"/>
        <v>0</v>
      </c>
      <c r="AK188" s="56">
        <f t="shared" si="37"/>
        <v>0</v>
      </c>
      <c r="AL188" s="56">
        <f t="shared" si="38"/>
        <v>0</v>
      </c>
      <c r="AM188" s="56">
        <f t="shared" si="39"/>
        <v>0</v>
      </c>
      <c r="AN188" s="56">
        <f t="shared" si="40"/>
        <v>0</v>
      </c>
      <c r="AO188" s="58">
        <f t="shared" si="41"/>
        <v>-1</v>
      </c>
      <c r="AP188" s="69"/>
      <c r="AQ188" s="40">
        <v>0</v>
      </c>
      <c r="AR188" s="40">
        <f t="shared" si="46"/>
        <v>-1</v>
      </c>
      <c r="AS188" s="31">
        <v>0</v>
      </c>
      <c r="AT188" s="31">
        <v>0</v>
      </c>
      <c r="AU188" s="31">
        <v>0</v>
      </c>
      <c r="AV188" s="39">
        <v>0</v>
      </c>
      <c r="AW188" s="31"/>
      <c r="AX188" s="31"/>
      <c r="AY188" s="31"/>
      <c r="AZ188" s="31"/>
      <c r="BA188" s="39"/>
      <c r="BB188" s="152">
        <f t="shared" si="42"/>
        <v>-1</v>
      </c>
      <c r="BC188" s="43">
        <v>518508</v>
      </c>
      <c r="BD188" s="43">
        <v>174268</v>
      </c>
      <c r="BE188" t="s">
        <v>1423</v>
      </c>
      <c r="BF188"/>
      <c r="BM188" t="s">
        <v>1545</v>
      </c>
      <c r="BN188" t="s">
        <v>1493</v>
      </c>
    </row>
    <row r="189" spans="1:66" ht="15" customHeight="1" x14ac:dyDescent="0.25">
      <c r="A189" s="56" t="s">
        <v>1039</v>
      </c>
      <c r="B189" s="19" t="s">
        <v>31</v>
      </c>
      <c r="C189" s="56" t="s">
        <v>1203</v>
      </c>
      <c r="D189" s="34">
        <v>43738</v>
      </c>
      <c r="E189" s="34">
        <v>44834</v>
      </c>
      <c r="F189" s="37">
        <v>43878</v>
      </c>
      <c r="G189" s="19"/>
      <c r="H189" s="59" t="s">
        <v>1101</v>
      </c>
      <c r="I189" s="19" t="s">
        <v>1173</v>
      </c>
      <c r="J189" s="19"/>
      <c r="K189" s="56" t="s">
        <v>1040</v>
      </c>
      <c r="L189" s="57" t="s">
        <v>1041</v>
      </c>
      <c r="M189" s="56" t="s">
        <v>1042</v>
      </c>
      <c r="N189" s="56"/>
      <c r="O189" s="56"/>
      <c r="P189" s="56"/>
      <c r="Q189" s="56"/>
      <c r="R189" s="56"/>
      <c r="S189" s="56"/>
      <c r="T189" s="56"/>
      <c r="U189" s="56"/>
      <c r="V189" s="56">
        <f t="shared" si="45"/>
        <v>0</v>
      </c>
      <c r="W189" s="56"/>
      <c r="X189" s="56"/>
      <c r="Y189" s="56">
        <v>4</v>
      </c>
      <c r="Z189" s="56"/>
      <c r="AA189" s="56"/>
      <c r="AB189" s="56"/>
      <c r="AC189" s="56"/>
      <c r="AD189" s="56"/>
      <c r="AE189" s="56"/>
      <c r="AF189" s="56">
        <f t="shared" si="32"/>
        <v>4</v>
      </c>
      <c r="AG189" s="56">
        <f t="shared" si="33"/>
        <v>0</v>
      </c>
      <c r="AH189" s="56">
        <f t="shared" si="34"/>
        <v>4</v>
      </c>
      <c r="AI189" s="56">
        <f t="shared" si="35"/>
        <v>0</v>
      </c>
      <c r="AJ189" s="56">
        <f t="shared" si="36"/>
        <v>0</v>
      </c>
      <c r="AK189" s="56">
        <f t="shared" si="37"/>
        <v>0</v>
      </c>
      <c r="AL189" s="56">
        <f t="shared" si="38"/>
        <v>0</v>
      </c>
      <c r="AM189" s="56">
        <f t="shared" si="39"/>
        <v>0</v>
      </c>
      <c r="AN189" s="56">
        <f t="shared" si="40"/>
        <v>0</v>
      </c>
      <c r="AO189" s="58">
        <f t="shared" si="41"/>
        <v>4</v>
      </c>
      <c r="AP189" s="69"/>
      <c r="AQ189" s="40">
        <v>0</v>
      </c>
      <c r="AR189" s="40">
        <f t="shared" si="46"/>
        <v>4</v>
      </c>
      <c r="AS189" s="31">
        <v>0</v>
      </c>
      <c r="AT189" s="31">
        <v>0</v>
      </c>
      <c r="AU189" s="31">
        <v>0</v>
      </c>
      <c r="AV189" s="39">
        <v>0</v>
      </c>
      <c r="AW189" s="31"/>
      <c r="AX189" s="31"/>
      <c r="AY189" s="31"/>
      <c r="AZ189" s="31"/>
      <c r="BA189" s="39"/>
      <c r="BB189" s="152">
        <f t="shared" si="42"/>
        <v>4</v>
      </c>
      <c r="BC189" s="43">
        <v>516843</v>
      </c>
      <c r="BD189" s="43">
        <v>174266</v>
      </c>
      <c r="BE189" t="s">
        <v>1488</v>
      </c>
      <c r="BF189"/>
      <c r="BI189" t="s">
        <v>1551</v>
      </c>
      <c r="BJ189" t="s">
        <v>1499</v>
      </c>
      <c r="BM189" t="s">
        <v>1545</v>
      </c>
      <c r="BN189" t="s">
        <v>1500</v>
      </c>
    </row>
    <row r="190" spans="1:66" ht="15" customHeight="1" x14ac:dyDescent="0.25">
      <c r="A190" s="56" t="s">
        <v>1077</v>
      </c>
      <c r="B190" s="19" t="s">
        <v>31</v>
      </c>
      <c r="C190" s="56" t="s">
        <v>1203</v>
      </c>
      <c r="D190" s="34">
        <v>43867</v>
      </c>
      <c r="E190" s="34">
        <v>44963</v>
      </c>
      <c r="F190" s="37">
        <v>43871</v>
      </c>
      <c r="G190" s="19"/>
      <c r="H190" s="33" t="s">
        <v>1101</v>
      </c>
      <c r="I190" s="19" t="s">
        <v>1173</v>
      </c>
      <c r="J190" s="19"/>
      <c r="K190" s="56" t="s">
        <v>1078</v>
      </c>
      <c r="L190" s="57" t="s">
        <v>1079</v>
      </c>
      <c r="M190" s="56" t="s">
        <v>1080</v>
      </c>
      <c r="N190" s="56"/>
      <c r="O190" s="56"/>
      <c r="P190" s="56"/>
      <c r="Q190" s="56"/>
      <c r="R190" s="56"/>
      <c r="S190" s="56"/>
      <c r="T190" s="56"/>
      <c r="U190" s="56"/>
      <c r="V190" s="56">
        <f t="shared" si="45"/>
        <v>0</v>
      </c>
      <c r="W190" s="56"/>
      <c r="X190" s="56">
        <v>2</v>
      </c>
      <c r="Y190" s="56"/>
      <c r="Z190" s="56"/>
      <c r="AA190" s="56"/>
      <c r="AB190" s="56"/>
      <c r="AC190" s="56"/>
      <c r="AD190" s="56"/>
      <c r="AE190" s="56"/>
      <c r="AF190" s="56">
        <f t="shared" si="32"/>
        <v>2</v>
      </c>
      <c r="AG190" s="56">
        <f t="shared" si="33"/>
        <v>2</v>
      </c>
      <c r="AH190" s="56">
        <f t="shared" si="34"/>
        <v>0</v>
      </c>
      <c r="AI190" s="56">
        <f t="shared" si="35"/>
        <v>0</v>
      </c>
      <c r="AJ190" s="56">
        <f t="shared" si="36"/>
        <v>0</v>
      </c>
      <c r="AK190" s="56">
        <f t="shared" si="37"/>
        <v>0</v>
      </c>
      <c r="AL190" s="56">
        <f t="shared" si="38"/>
        <v>0</v>
      </c>
      <c r="AM190" s="56">
        <f t="shared" si="39"/>
        <v>0</v>
      </c>
      <c r="AN190" s="56">
        <f t="shared" si="40"/>
        <v>0</v>
      </c>
      <c r="AO190" s="58">
        <f t="shared" si="41"/>
        <v>2</v>
      </c>
      <c r="AP190" s="69"/>
      <c r="AQ190" s="40">
        <v>0</v>
      </c>
      <c r="AR190" s="40">
        <f t="shared" si="46"/>
        <v>2</v>
      </c>
      <c r="AS190" s="31">
        <v>0</v>
      </c>
      <c r="AT190" s="31">
        <v>0</v>
      </c>
      <c r="AU190" s="31">
        <v>0</v>
      </c>
      <c r="AV190" s="39">
        <v>0</v>
      </c>
      <c r="AW190" s="31"/>
      <c r="AX190" s="31"/>
      <c r="AY190" s="31"/>
      <c r="AZ190" s="31"/>
      <c r="BA190" s="39"/>
      <c r="BB190" s="152">
        <f t="shared" si="42"/>
        <v>2</v>
      </c>
      <c r="BC190" s="43">
        <v>520890</v>
      </c>
      <c r="BD190" s="43">
        <v>175755</v>
      </c>
      <c r="BE190" t="s">
        <v>1459</v>
      </c>
      <c r="BF190"/>
    </row>
    <row r="191" spans="1:66" ht="15" customHeight="1" x14ac:dyDescent="0.25">
      <c r="A191" s="56" t="s">
        <v>1085</v>
      </c>
      <c r="B191" s="19" t="s">
        <v>31</v>
      </c>
      <c r="C191" s="56" t="s">
        <v>1203</v>
      </c>
      <c r="D191" s="34">
        <v>43875</v>
      </c>
      <c r="E191" s="34">
        <v>44012</v>
      </c>
      <c r="F191" s="37">
        <v>43892</v>
      </c>
      <c r="G191" s="19"/>
      <c r="H191" s="33" t="s">
        <v>1101</v>
      </c>
      <c r="I191" s="19" t="s">
        <v>1173</v>
      </c>
      <c r="J191" s="19"/>
      <c r="K191" s="19" t="s">
        <v>1086</v>
      </c>
      <c r="L191" s="46" t="s">
        <v>1087</v>
      </c>
      <c r="M191" s="56" t="s">
        <v>1088</v>
      </c>
      <c r="N191" s="56"/>
      <c r="O191" s="56"/>
      <c r="P191" s="56"/>
      <c r="Q191" s="56"/>
      <c r="R191" s="56"/>
      <c r="S191" s="56"/>
      <c r="T191" s="56"/>
      <c r="U191" s="56"/>
      <c r="V191" s="56">
        <f t="shared" si="45"/>
        <v>0</v>
      </c>
      <c r="W191" s="56"/>
      <c r="X191" s="56">
        <v>2</v>
      </c>
      <c r="Y191" s="56"/>
      <c r="Z191" s="56"/>
      <c r="AA191" s="56"/>
      <c r="AB191" s="56"/>
      <c r="AC191" s="56"/>
      <c r="AD191" s="56"/>
      <c r="AE191" s="56"/>
      <c r="AF191" s="56">
        <f t="shared" si="32"/>
        <v>2</v>
      </c>
      <c r="AG191" s="56">
        <f t="shared" si="33"/>
        <v>2</v>
      </c>
      <c r="AH191" s="56">
        <f t="shared" si="34"/>
        <v>0</v>
      </c>
      <c r="AI191" s="56">
        <f t="shared" si="35"/>
        <v>0</v>
      </c>
      <c r="AJ191" s="56">
        <f t="shared" si="36"/>
        <v>0</v>
      </c>
      <c r="AK191" s="56">
        <f t="shared" si="37"/>
        <v>0</v>
      </c>
      <c r="AL191" s="56">
        <f t="shared" si="38"/>
        <v>0</v>
      </c>
      <c r="AM191" s="56">
        <f t="shared" si="39"/>
        <v>0</v>
      </c>
      <c r="AN191" s="56">
        <f t="shared" si="40"/>
        <v>0</v>
      </c>
      <c r="AO191" s="58">
        <f t="shared" si="41"/>
        <v>2</v>
      </c>
      <c r="AP191" s="69"/>
      <c r="AQ191" s="40">
        <v>0</v>
      </c>
      <c r="AR191" s="40">
        <f t="shared" si="46"/>
        <v>2</v>
      </c>
      <c r="AS191" s="31">
        <v>0</v>
      </c>
      <c r="AT191" s="31">
        <v>0</v>
      </c>
      <c r="AU191" s="31">
        <v>0</v>
      </c>
      <c r="AV191" s="39">
        <v>0</v>
      </c>
      <c r="AW191" s="31"/>
      <c r="AX191" s="31"/>
      <c r="AY191" s="31"/>
      <c r="AZ191" s="31"/>
      <c r="BA191" s="39"/>
      <c r="BB191" s="152">
        <f t="shared" si="42"/>
        <v>2</v>
      </c>
      <c r="BC191" s="43">
        <v>516541</v>
      </c>
      <c r="BD191" s="43">
        <v>175254</v>
      </c>
      <c r="BE191" t="s">
        <v>1488</v>
      </c>
      <c r="BF191"/>
    </row>
    <row r="192" spans="1:66" ht="15" customHeight="1" x14ac:dyDescent="0.25">
      <c r="A192" s="56" t="s">
        <v>991</v>
      </c>
      <c r="B192" s="19" t="s">
        <v>31</v>
      </c>
      <c r="C192" s="56"/>
      <c r="D192" s="34">
        <v>43700</v>
      </c>
      <c r="E192" s="34">
        <v>44796</v>
      </c>
      <c r="F192" s="37">
        <v>43780</v>
      </c>
      <c r="G192" s="19"/>
      <c r="H192" s="58" t="s">
        <v>1101</v>
      </c>
      <c r="I192" s="19" t="s">
        <v>1173</v>
      </c>
      <c r="J192" s="19"/>
      <c r="K192" s="56" t="s">
        <v>992</v>
      </c>
      <c r="L192" s="57" t="s">
        <v>993</v>
      </c>
      <c r="M192" s="56" t="s">
        <v>994</v>
      </c>
      <c r="N192" s="56"/>
      <c r="O192" s="56"/>
      <c r="P192" s="56"/>
      <c r="Q192" s="56">
        <v>1</v>
      </c>
      <c r="R192" s="56"/>
      <c r="S192" s="56"/>
      <c r="T192" s="56"/>
      <c r="U192" s="56"/>
      <c r="V192" s="56">
        <f t="shared" si="45"/>
        <v>1</v>
      </c>
      <c r="W192" s="56"/>
      <c r="X192" s="56"/>
      <c r="Y192" s="56"/>
      <c r="Z192" s="56"/>
      <c r="AA192" s="56"/>
      <c r="AB192" s="56">
        <v>1</v>
      </c>
      <c r="AC192" s="56"/>
      <c r="AD192" s="56"/>
      <c r="AE192" s="56"/>
      <c r="AF192" s="56">
        <f t="shared" si="32"/>
        <v>1</v>
      </c>
      <c r="AG192" s="56">
        <f t="shared" si="33"/>
        <v>0</v>
      </c>
      <c r="AH192" s="56">
        <f t="shared" si="34"/>
        <v>0</v>
      </c>
      <c r="AI192" s="56">
        <f t="shared" si="35"/>
        <v>0</v>
      </c>
      <c r="AJ192" s="56">
        <f t="shared" si="36"/>
        <v>-1</v>
      </c>
      <c r="AK192" s="56">
        <f t="shared" si="37"/>
        <v>1</v>
      </c>
      <c r="AL192" s="56">
        <f t="shared" si="38"/>
        <v>0</v>
      </c>
      <c r="AM192" s="56">
        <f t="shared" si="39"/>
        <v>0</v>
      </c>
      <c r="AN192" s="56">
        <f t="shared" si="40"/>
        <v>0</v>
      </c>
      <c r="AO192" s="58">
        <f t="shared" si="41"/>
        <v>0</v>
      </c>
      <c r="AP192" s="69"/>
      <c r="AQ192" s="40">
        <v>0</v>
      </c>
      <c r="AR192" s="40">
        <v>0</v>
      </c>
      <c r="AS192" s="31">
        <v>0</v>
      </c>
      <c r="AT192" s="31">
        <v>0</v>
      </c>
      <c r="AU192" s="31">
        <v>0</v>
      </c>
      <c r="AV192" s="39">
        <v>0</v>
      </c>
      <c r="AW192" s="31"/>
      <c r="AX192" s="31"/>
      <c r="AY192" s="31"/>
      <c r="AZ192" s="31"/>
      <c r="BA192" s="39"/>
      <c r="BB192" s="152">
        <f t="shared" si="42"/>
        <v>0</v>
      </c>
      <c r="BC192" s="43">
        <v>517949</v>
      </c>
      <c r="BD192" s="43">
        <v>174356</v>
      </c>
      <c r="BE192" t="s">
        <v>1487</v>
      </c>
      <c r="BF192"/>
      <c r="BH192" t="s">
        <v>1404</v>
      </c>
      <c r="BM192" t="s">
        <v>1545</v>
      </c>
      <c r="BN192" t="s">
        <v>1518</v>
      </c>
    </row>
    <row r="193" spans="1:66" ht="15" customHeight="1" x14ac:dyDescent="0.25">
      <c r="A193" s="56" t="s">
        <v>106</v>
      </c>
      <c r="B193" s="19" t="s">
        <v>20</v>
      </c>
      <c r="C193" s="56"/>
      <c r="D193" s="34">
        <v>43284</v>
      </c>
      <c r="E193" s="34">
        <v>44380</v>
      </c>
      <c r="F193" s="19"/>
      <c r="G193" s="19"/>
      <c r="H193" s="35" t="s">
        <v>1100</v>
      </c>
      <c r="I193" s="19" t="s">
        <v>1173</v>
      </c>
      <c r="J193" s="19"/>
      <c r="K193" s="56" t="s">
        <v>107</v>
      </c>
      <c r="L193" s="57" t="s">
        <v>1241</v>
      </c>
      <c r="M193" s="56" t="s">
        <v>108</v>
      </c>
      <c r="N193" s="56"/>
      <c r="O193" s="56"/>
      <c r="P193" s="56"/>
      <c r="Q193" s="56"/>
      <c r="R193" s="56"/>
      <c r="S193" s="56"/>
      <c r="T193" s="56"/>
      <c r="U193" s="56"/>
      <c r="V193" s="56">
        <f t="shared" si="45"/>
        <v>0</v>
      </c>
      <c r="W193" s="56"/>
      <c r="X193" s="56"/>
      <c r="Y193" s="56">
        <v>1</v>
      </c>
      <c r="Z193" s="56"/>
      <c r="AA193" s="56"/>
      <c r="AB193" s="56"/>
      <c r="AC193" s="56"/>
      <c r="AD193" s="56"/>
      <c r="AE193" s="56"/>
      <c r="AF193" s="56">
        <f t="shared" si="32"/>
        <v>1</v>
      </c>
      <c r="AG193" s="56">
        <f t="shared" si="33"/>
        <v>0</v>
      </c>
      <c r="AH193" s="56">
        <f t="shared" si="34"/>
        <v>1</v>
      </c>
      <c r="AI193" s="56">
        <f t="shared" si="35"/>
        <v>0</v>
      </c>
      <c r="AJ193" s="56">
        <f t="shared" si="36"/>
        <v>0</v>
      </c>
      <c r="AK193" s="56">
        <f t="shared" si="37"/>
        <v>0</v>
      </c>
      <c r="AL193" s="56">
        <f t="shared" si="38"/>
        <v>0</v>
      </c>
      <c r="AM193" s="56">
        <f t="shared" si="39"/>
        <v>0</v>
      </c>
      <c r="AN193" s="56">
        <f t="shared" si="40"/>
        <v>0</v>
      </c>
      <c r="AO193" s="58">
        <f t="shared" si="41"/>
        <v>1</v>
      </c>
      <c r="AP193" s="69"/>
      <c r="AQ193" s="40">
        <v>0</v>
      </c>
      <c r="AR193" s="40">
        <v>0</v>
      </c>
      <c r="AS193" s="44">
        <f t="shared" ref="AS193:AV196" si="47">$AO193/4</f>
        <v>0.25</v>
      </c>
      <c r="AT193" s="44">
        <f t="shared" si="47"/>
        <v>0.25</v>
      </c>
      <c r="AU193" s="44">
        <f t="shared" si="47"/>
        <v>0.25</v>
      </c>
      <c r="AV193" s="45">
        <f t="shared" si="47"/>
        <v>0.25</v>
      </c>
      <c r="AW193" s="44"/>
      <c r="AX193" s="44"/>
      <c r="AY193" s="44"/>
      <c r="AZ193" s="44"/>
      <c r="BA193" s="45"/>
      <c r="BB193" s="152">
        <f t="shared" si="42"/>
        <v>1</v>
      </c>
      <c r="BC193" s="43">
        <v>514174</v>
      </c>
      <c r="BD193" s="43">
        <v>174381</v>
      </c>
      <c r="BE193" t="s">
        <v>1428</v>
      </c>
      <c r="BF193"/>
    </row>
    <row r="194" spans="1:66" ht="15" customHeight="1" x14ac:dyDescent="0.25">
      <c r="A194" s="56" t="s">
        <v>133</v>
      </c>
      <c r="B194" s="19" t="s">
        <v>20</v>
      </c>
      <c r="C194" s="56"/>
      <c r="D194" s="34">
        <v>43690</v>
      </c>
      <c r="E194" s="34">
        <v>44786</v>
      </c>
      <c r="F194" s="19"/>
      <c r="G194" s="19"/>
      <c r="H194" s="33" t="s">
        <v>1100</v>
      </c>
      <c r="I194" s="56" t="s">
        <v>1215</v>
      </c>
      <c r="J194" s="19"/>
      <c r="K194" s="56" t="s">
        <v>134</v>
      </c>
      <c r="L194" s="57" t="s">
        <v>135</v>
      </c>
      <c r="M194" s="56" t="s">
        <v>129</v>
      </c>
      <c r="N194" s="56"/>
      <c r="O194" s="56"/>
      <c r="P194" s="56"/>
      <c r="Q194" s="56"/>
      <c r="R194" s="56"/>
      <c r="S194" s="56"/>
      <c r="T194" s="56"/>
      <c r="U194" s="56"/>
      <c r="V194" s="56">
        <f t="shared" si="45"/>
        <v>0</v>
      </c>
      <c r="W194" s="56" t="s">
        <v>121</v>
      </c>
      <c r="X194" s="56"/>
      <c r="Y194" s="56"/>
      <c r="Z194" s="56">
        <v>3</v>
      </c>
      <c r="AA194" s="56">
        <v>2</v>
      </c>
      <c r="AB194" s="56"/>
      <c r="AC194" s="56"/>
      <c r="AD194" s="56"/>
      <c r="AE194" s="56"/>
      <c r="AF194" s="56">
        <f t="shared" ref="AF194:AF257" si="48">SUM(X194:AD194)</f>
        <v>5</v>
      </c>
      <c r="AG194" s="56">
        <f t="shared" ref="AG194:AG257" si="49">X194-N194</f>
        <v>0</v>
      </c>
      <c r="AH194" s="56">
        <f t="shared" ref="AH194:AH257" si="50">Y194-O194</f>
        <v>0</v>
      </c>
      <c r="AI194" s="56">
        <f t="shared" ref="AI194:AI257" si="51">Z194-P194</f>
        <v>3</v>
      </c>
      <c r="AJ194" s="56">
        <f t="shared" ref="AJ194:AJ257" si="52">AA194-Q194</f>
        <v>2</v>
      </c>
      <c r="AK194" s="56">
        <f t="shared" ref="AK194:AK257" si="53">AB194-R194</f>
        <v>0</v>
      </c>
      <c r="AL194" s="56">
        <f t="shared" ref="AL194:AL257" si="54">AC194-S194</f>
        <v>0</v>
      </c>
      <c r="AM194" s="56">
        <f t="shared" ref="AM194:AM257" si="55">AD194-T194</f>
        <v>0</v>
      </c>
      <c r="AN194" s="56">
        <f t="shared" ref="AN194:AN257" si="56">0-U194</f>
        <v>0</v>
      </c>
      <c r="AO194" s="58">
        <f t="shared" ref="AO194:AO203" si="57">AF194-V194</f>
        <v>5</v>
      </c>
      <c r="AP194" s="69"/>
      <c r="AQ194" s="40">
        <v>0</v>
      </c>
      <c r="AR194" s="40">
        <v>0</v>
      </c>
      <c r="AS194" s="44">
        <f t="shared" si="47"/>
        <v>1.25</v>
      </c>
      <c r="AT194" s="44">
        <f t="shared" si="47"/>
        <v>1.25</v>
      </c>
      <c r="AU194" s="44">
        <f t="shared" si="47"/>
        <v>1.25</v>
      </c>
      <c r="AV194" s="45">
        <f t="shared" si="47"/>
        <v>1.25</v>
      </c>
      <c r="AW194" s="44"/>
      <c r="AX194" s="44"/>
      <c r="AY194" s="44"/>
      <c r="AZ194" s="44"/>
      <c r="BA194" s="45"/>
      <c r="BB194" s="152">
        <f t="shared" ref="BB194:BB257" si="58">SUM(AR194:BA194)</f>
        <v>5</v>
      </c>
      <c r="BC194" s="43">
        <v>517328</v>
      </c>
      <c r="BD194" s="43">
        <v>170954</v>
      </c>
      <c r="BE194" t="s">
        <v>1418</v>
      </c>
      <c r="BF194"/>
    </row>
    <row r="195" spans="1:66" ht="15" customHeight="1" x14ac:dyDescent="0.25">
      <c r="A195" s="56" t="s">
        <v>136</v>
      </c>
      <c r="B195" s="19" t="s">
        <v>20</v>
      </c>
      <c r="C195" s="56"/>
      <c r="D195" s="34">
        <v>43690</v>
      </c>
      <c r="E195" s="34">
        <v>44786</v>
      </c>
      <c r="F195" s="19"/>
      <c r="G195" s="19"/>
      <c r="H195" s="33" t="s">
        <v>1100</v>
      </c>
      <c r="I195" s="56" t="s">
        <v>1215</v>
      </c>
      <c r="J195" s="19"/>
      <c r="K195" s="60" t="s">
        <v>1114</v>
      </c>
      <c r="L195" s="57" t="s">
        <v>137</v>
      </c>
      <c r="M195" s="56" t="s">
        <v>129</v>
      </c>
      <c r="N195" s="56"/>
      <c r="O195" s="56"/>
      <c r="P195" s="56"/>
      <c r="Q195" s="56"/>
      <c r="R195" s="56"/>
      <c r="S195" s="56"/>
      <c r="T195" s="56"/>
      <c r="U195" s="56"/>
      <c r="V195" s="56">
        <f t="shared" si="45"/>
        <v>0</v>
      </c>
      <c r="W195" s="56" t="s">
        <v>121</v>
      </c>
      <c r="X195" s="56"/>
      <c r="Y195" s="56"/>
      <c r="Z195" s="56"/>
      <c r="AA195" s="56">
        <v>2</v>
      </c>
      <c r="AB195" s="56"/>
      <c r="AC195" s="56"/>
      <c r="AD195" s="56"/>
      <c r="AE195" s="56"/>
      <c r="AF195" s="56">
        <f t="shared" si="48"/>
        <v>2</v>
      </c>
      <c r="AG195" s="56">
        <f t="shared" si="49"/>
        <v>0</v>
      </c>
      <c r="AH195" s="56">
        <f t="shared" si="50"/>
        <v>0</v>
      </c>
      <c r="AI195" s="56">
        <f t="shared" si="51"/>
        <v>0</v>
      </c>
      <c r="AJ195" s="56">
        <f t="shared" si="52"/>
        <v>2</v>
      </c>
      <c r="AK195" s="56">
        <f t="shared" si="53"/>
        <v>0</v>
      </c>
      <c r="AL195" s="56">
        <f t="shared" si="54"/>
        <v>0</v>
      </c>
      <c r="AM195" s="56">
        <f t="shared" si="55"/>
        <v>0</v>
      </c>
      <c r="AN195" s="56">
        <f t="shared" si="56"/>
        <v>0</v>
      </c>
      <c r="AO195" s="58">
        <f t="shared" si="57"/>
        <v>2</v>
      </c>
      <c r="AP195" s="69"/>
      <c r="AQ195" s="40">
        <v>0</v>
      </c>
      <c r="AR195" s="40">
        <v>0</v>
      </c>
      <c r="AS195" s="31">
        <f t="shared" si="47"/>
        <v>0.5</v>
      </c>
      <c r="AT195" s="31">
        <f t="shared" si="47"/>
        <v>0.5</v>
      </c>
      <c r="AU195" s="31">
        <f t="shared" si="47"/>
        <v>0.5</v>
      </c>
      <c r="AV195" s="39">
        <f t="shared" si="47"/>
        <v>0.5</v>
      </c>
      <c r="AW195" s="31"/>
      <c r="AX195" s="31"/>
      <c r="AY195" s="31"/>
      <c r="AZ195" s="31"/>
      <c r="BA195" s="39"/>
      <c r="BB195" s="152">
        <f t="shared" si="58"/>
        <v>2</v>
      </c>
      <c r="BC195" s="43">
        <v>517351</v>
      </c>
      <c r="BD195" s="43">
        <v>170884</v>
      </c>
      <c r="BE195" t="s">
        <v>1418</v>
      </c>
      <c r="BF195"/>
    </row>
    <row r="196" spans="1:66" ht="15" customHeight="1" x14ac:dyDescent="0.25">
      <c r="A196" s="56" t="s">
        <v>150</v>
      </c>
      <c r="B196" s="19" t="s">
        <v>20</v>
      </c>
      <c r="C196" s="56"/>
      <c r="D196" s="34">
        <v>43213</v>
      </c>
      <c r="E196" s="34">
        <v>44309</v>
      </c>
      <c r="F196" s="19"/>
      <c r="G196" s="19"/>
      <c r="H196" s="35" t="s">
        <v>1100</v>
      </c>
      <c r="I196" s="19" t="s">
        <v>1173</v>
      </c>
      <c r="J196" s="19"/>
      <c r="K196" s="56" t="s">
        <v>151</v>
      </c>
      <c r="L196" s="57" t="s">
        <v>152</v>
      </c>
      <c r="M196" s="56" t="s">
        <v>153</v>
      </c>
      <c r="N196" s="56"/>
      <c r="O196" s="56"/>
      <c r="P196" s="56"/>
      <c r="Q196" s="56"/>
      <c r="R196" s="56"/>
      <c r="S196" s="56"/>
      <c r="T196" s="56"/>
      <c r="U196" s="56"/>
      <c r="V196" s="56">
        <f t="shared" si="45"/>
        <v>0</v>
      </c>
      <c r="W196" s="56"/>
      <c r="X196" s="56"/>
      <c r="Y196" s="56"/>
      <c r="Z196" s="56">
        <v>6</v>
      </c>
      <c r="AA196" s="56"/>
      <c r="AB196" s="56"/>
      <c r="AC196" s="56"/>
      <c r="AD196" s="56"/>
      <c r="AE196" s="56"/>
      <c r="AF196" s="56">
        <f t="shared" si="48"/>
        <v>6</v>
      </c>
      <c r="AG196" s="56">
        <f t="shared" si="49"/>
        <v>0</v>
      </c>
      <c r="AH196" s="56">
        <f t="shared" si="50"/>
        <v>0</v>
      </c>
      <c r="AI196" s="56">
        <f t="shared" si="51"/>
        <v>6</v>
      </c>
      <c r="AJ196" s="56">
        <f t="shared" si="52"/>
        <v>0</v>
      </c>
      <c r="AK196" s="56">
        <f t="shared" si="53"/>
        <v>0</v>
      </c>
      <c r="AL196" s="56">
        <f t="shared" si="54"/>
        <v>0</v>
      </c>
      <c r="AM196" s="56">
        <f t="shared" si="55"/>
        <v>0</v>
      </c>
      <c r="AN196" s="56">
        <f t="shared" si="56"/>
        <v>0</v>
      </c>
      <c r="AO196" s="58">
        <f t="shared" si="57"/>
        <v>6</v>
      </c>
      <c r="AP196" s="69"/>
      <c r="AQ196" s="40">
        <v>0</v>
      </c>
      <c r="AR196" s="40">
        <v>0</v>
      </c>
      <c r="AS196" s="31">
        <f t="shared" si="47"/>
        <v>1.5</v>
      </c>
      <c r="AT196" s="31">
        <f t="shared" si="47"/>
        <v>1.5</v>
      </c>
      <c r="AU196" s="31">
        <f t="shared" si="47"/>
        <v>1.5</v>
      </c>
      <c r="AV196" s="39">
        <f t="shared" si="47"/>
        <v>1.5</v>
      </c>
      <c r="AW196" s="31"/>
      <c r="AX196" s="31"/>
      <c r="AY196" s="31"/>
      <c r="AZ196" s="31"/>
      <c r="BA196" s="39"/>
      <c r="BB196" s="152">
        <f t="shared" si="58"/>
        <v>6</v>
      </c>
      <c r="BC196" s="43">
        <v>513825</v>
      </c>
      <c r="BD196" s="43">
        <v>169567</v>
      </c>
      <c r="BE196" t="s">
        <v>1417</v>
      </c>
      <c r="BF196"/>
      <c r="BM196" t="s">
        <v>1545</v>
      </c>
      <c r="BN196" t="s">
        <v>1502</v>
      </c>
    </row>
    <row r="197" spans="1:66" ht="15" customHeight="1" x14ac:dyDescent="0.25">
      <c r="A197" s="56" t="s">
        <v>154</v>
      </c>
      <c r="B197" s="19" t="s">
        <v>20</v>
      </c>
      <c r="C197" s="56"/>
      <c r="D197" s="34">
        <v>42927</v>
      </c>
      <c r="E197" s="34">
        <v>44023</v>
      </c>
      <c r="F197" s="19"/>
      <c r="G197" s="19"/>
      <c r="H197" s="35" t="s">
        <v>1100</v>
      </c>
      <c r="I197" s="19" t="s">
        <v>1173</v>
      </c>
      <c r="J197" s="19"/>
      <c r="K197" s="56" t="s">
        <v>155</v>
      </c>
      <c r="L197" s="57" t="s">
        <v>156</v>
      </c>
      <c r="M197" s="56" t="s">
        <v>157</v>
      </c>
      <c r="N197" s="56"/>
      <c r="O197" s="56"/>
      <c r="P197" s="56"/>
      <c r="Q197" s="56">
        <v>1</v>
      </c>
      <c r="R197" s="56"/>
      <c r="S197" s="56"/>
      <c r="T197" s="56"/>
      <c r="U197" s="56"/>
      <c r="V197" s="56">
        <f t="shared" si="45"/>
        <v>1</v>
      </c>
      <c r="W197" s="56"/>
      <c r="X197" s="56"/>
      <c r="Y197" s="56"/>
      <c r="Z197" s="56"/>
      <c r="AA197" s="56"/>
      <c r="AB197" s="56">
        <v>1</v>
      </c>
      <c r="AC197" s="56"/>
      <c r="AD197" s="56"/>
      <c r="AE197" s="56"/>
      <c r="AF197" s="56">
        <f t="shared" si="48"/>
        <v>1</v>
      </c>
      <c r="AG197" s="56">
        <f t="shared" si="49"/>
        <v>0</v>
      </c>
      <c r="AH197" s="56">
        <f t="shared" si="50"/>
        <v>0</v>
      </c>
      <c r="AI197" s="56">
        <f t="shared" si="51"/>
        <v>0</v>
      </c>
      <c r="AJ197" s="56">
        <f t="shared" si="52"/>
        <v>-1</v>
      </c>
      <c r="AK197" s="56">
        <f t="shared" si="53"/>
        <v>1</v>
      </c>
      <c r="AL197" s="56">
        <f t="shared" si="54"/>
        <v>0</v>
      </c>
      <c r="AM197" s="56">
        <f t="shared" si="55"/>
        <v>0</v>
      </c>
      <c r="AN197" s="56">
        <f t="shared" si="56"/>
        <v>0</v>
      </c>
      <c r="AO197" s="58">
        <f t="shared" si="57"/>
        <v>0</v>
      </c>
      <c r="AP197" s="69"/>
      <c r="AQ197" s="40">
        <v>0</v>
      </c>
      <c r="AR197" s="40">
        <v>0</v>
      </c>
      <c r="AS197" s="31">
        <v>0</v>
      </c>
      <c r="AT197" s="31">
        <v>0</v>
      </c>
      <c r="AU197" s="31">
        <v>0</v>
      </c>
      <c r="AV197" s="39">
        <v>0</v>
      </c>
      <c r="AW197" s="31"/>
      <c r="AX197" s="31"/>
      <c r="AY197" s="31"/>
      <c r="AZ197" s="31"/>
      <c r="BA197" s="39"/>
      <c r="BB197" s="152">
        <f t="shared" si="58"/>
        <v>0</v>
      </c>
      <c r="BC197" s="43">
        <v>515611</v>
      </c>
      <c r="BD197" s="43">
        <v>172008</v>
      </c>
      <c r="BE197" t="s">
        <v>1424</v>
      </c>
      <c r="BF197"/>
    </row>
    <row r="198" spans="1:66" ht="15" customHeight="1" x14ac:dyDescent="0.25">
      <c r="A198" s="56" t="s">
        <v>183</v>
      </c>
      <c r="B198" s="19" t="s">
        <v>31</v>
      </c>
      <c r="C198" s="56"/>
      <c r="D198" s="34">
        <v>43300</v>
      </c>
      <c r="E198" s="34">
        <v>44396</v>
      </c>
      <c r="F198" s="19"/>
      <c r="G198" s="19"/>
      <c r="H198" s="35" t="s">
        <v>1100</v>
      </c>
      <c r="I198" s="19" t="s">
        <v>1173</v>
      </c>
      <c r="J198" s="19"/>
      <c r="K198" s="56" t="s">
        <v>184</v>
      </c>
      <c r="L198" s="57" t="s">
        <v>185</v>
      </c>
      <c r="M198" s="56" t="s">
        <v>186</v>
      </c>
      <c r="N198" s="56"/>
      <c r="O198" s="56"/>
      <c r="P198" s="56"/>
      <c r="Q198" s="56"/>
      <c r="R198" s="56"/>
      <c r="S198" s="56"/>
      <c r="T198" s="56"/>
      <c r="U198" s="56"/>
      <c r="V198" s="56">
        <f t="shared" si="45"/>
        <v>0</v>
      </c>
      <c r="W198" s="56"/>
      <c r="X198" s="56"/>
      <c r="Y198" s="56">
        <v>2</v>
      </c>
      <c r="Z198" s="56"/>
      <c r="AA198" s="56"/>
      <c r="AB198" s="56"/>
      <c r="AC198" s="56"/>
      <c r="AD198" s="56"/>
      <c r="AE198" s="56"/>
      <c r="AF198" s="56">
        <f t="shared" si="48"/>
        <v>2</v>
      </c>
      <c r="AG198" s="56">
        <f t="shared" si="49"/>
        <v>0</v>
      </c>
      <c r="AH198" s="56">
        <f t="shared" si="50"/>
        <v>2</v>
      </c>
      <c r="AI198" s="56">
        <f t="shared" si="51"/>
        <v>0</v>
      </c>
      <c r="AJ198" s="56">
        <f t="shared" si="52"/>
        <v>0</v>
      </c>
      <c r="AK198" s="56">
        <f t="shared" si="53"/>
        <v>0</v>
      </c>
      <c r="AL198" s="56">
        <f t="shared" si="54"/>
        <v>0</v>
      </c>
      <c r="AM198" s="56">
        <f t="shared" si="55"/>
        <v>0</v>
      </c>
      <c r="AN198" s="56">
        <f t="shared" si="56"/>
        <v>0</v>
      </c>
      <c r="AO198" s="58">
        <f t="shared" si="57"/>
        <v>2</v>
      </c>
      <c r="AP198" s="69"/>
      <c r="AQ198" s="40">
        <v>0</v>
      </c>
      <c r="AR198" s="40">
        <v>0</v>
      </c>
      <c r="AS198" s="31">
        <f>$AO198/4</f>
        <v>0.5</v>
      </c>
      <c r="AT198" s="31">
        <f>$AO198/4</f>
        <v>0.5</v>
      </c>
      <c r="AU198" s="31">
        <f>$AO198/4</f>
        <v>0.5</v>
      </c>
      <c r="AV198" s="39">
        <f>$AO198/4</f>
        <v>0.5</v>
      </c>
      <c r="AW198" s="31"/>
      <c r="AX198" s="31"/>
      <c r="AY198" s="31"/>
      <c r="AZ198" s="31"/>
      <c r="BA198" s="39"/>
      <c r="BB198" s="152">
        <f t="shared" si="58"/>
        <v>2</v>
      </c>
      <c r="BC198" s="43">
        <v>518392</v>
      </c>
      <c r="BD198" s="43">
        <v>175032</v>
      </c>
      <c r="BE198" t="s">
        <v>1423</v>
      </c>
      <c r="BF198"/>
      <c r="BI198" t="s">
        <v>1551</v>
      </c>
      <c r="BJ198" t="s">
        <v>1532</v>
      </c>
      <c r="BM198" t="s">
        <v>1545</v>
      </c>
      <c r="BN198" t="s">
        <v>1526</v>
      </c>
    </row>
    <row r="199" spans="1:66" ht="15" customHeight="1" x14ac:dyDescent="0.25">
      <c r="A199" s="56" t="s">
        <v>187</v>
      </c>
      <c r="B199" s="19" t="s">
        <v>48</v>
      </c>
      <c r="C199" s="56"/>
      <c r="D199" s="34">
        <v>42983</v>
      </c>
      <c r="E199" s="34">
        <v>44079</v>
      </c>
      <c r="F199" s="19"/>
      <c r="G199" s="19"/>
      <c r="H199" s="35" t="s">
        <v>1100</v>
      </c>
      <c r="I199" s="19" t="s">
        <v>1173</v>
      </c>
      <c r="J199" s="19"/>
      <c r="K199" s="56" t="s">
        <v>188</v>
      </c>
      <c r="L199" s="57" t="s">
        <v>189</v>
      </c>
      <c r="M199" s="56" t="s">
        <v>190</v>
      </c>
      <c r="N199" s="56"/>
      <c r="O199" s="56"/>
      <c r="P199" s="56"/>
      <c r="Q199" s="56"/>
      <c r="R199" s="56"/>
      <c r="S199" s="56"/>
      <c r="T199" s="56"/>
      <c r="U199" s="56"/>
      <c r="V199" s="56">
        <f t="shared" si="45"/>
        <v>0</v>
      </c>
      <c r="W199" s="56"/>
      <c r="X199" s="56">
        <v>4</v>
      </c>
      <c r="Y199" s="56">
        <v>12</v>
      </c>
      <c r="Z199" s="56">
        <v>10</v>
      </c>
      <c r="AA199" s="56">
        <v>2</v>
      </c>
      <c r="AB199" s="56"/>
      <c r="AC199" s="56"/>
      <c r="AD199" s="56"/>
      <c r="AE199" s="56"/>
      <c r="AF199" s="56">
        <f t="shared" si="48"/>
        <v>28</v>
      </c>
      <c r="AG199" s="56">
        <f t="shared" si="49"/>
        <v>4</v>
      </c>
      <c r="AH199" s="56">
        <f t="shared" si="50"/>
        <v>12</v>
      </c>
      <c r="AI199" s="56">
        <f t="shared" si="51"/>
        <v>10</v>
      </c>
      <c r="AJ199" s="56">
        <f t="shared" si="52"/>
        <v>2</v>
      </c>
      <c r="AK199" s="56">
        <f t="shared" si="53"/>
        <v>0</v>
      </c>
      <c r="AL199" s="56">
        <f t="shared" si="54"/>
        <v>0</v>
      </c>
      <c r="AM199" s="56">
        <f t="shared" si="55"/>
        <v>0</v>
      </c>
      <c r="AN199" s="56">
        <f t="shared" si="56"/>
        <v>0</v>
      </c>
      <c r="AO199" s="58">
        <f t="shared" si="57"/>
        <v>28</v>
      </c>
      <c r="AP199" s="69"/>
      <c r="AQ199" s="40">
        <v>0</v>
      </c>
      <c r="AR199" s="40">
        <v>0</v>
      </c>
      <c r="AS199" s="31">
        <v>28</v>
      </c>
      <c r="AT199" s="31">
        <v>0</v>
      </c>
      <c r="AU199" s="31">
        <v>0</v>
      </c>
      <c r="AV199" s="39">
        <v>0</v>
      </c>
      <c r="AW199" s="31"/>
      <c r="AX199" s="31"/>
      <c r="AY199" s="31"/>
      <c r="AZ199" s="31"/>
      <c r="BA199" s="39"/>
      <c r="BB199" s="152">
        <f t="shared" si="58"/>
        <v>28</v>
      </c>
      <c r="BC199" s="43">
        <v>513766</v>
      </c>
      <c r="BD199" s="43">
        <v>169736</v>
      </c>
      <c r="BE199" t="s">
        <v>1417</v>
      </c>
      <c r="BF199"/>
      <c r="BI199" t="s">
        <v>1551</v>
      </c>
      <c r="BJ199" t="s">
        <v>1501</v>
      </c>
      <c r="BM199" t="s">
        <v>1545</v>
      </c>
      <c r="BN199" t="s">
        <v>1502</v>
      </c>
    </row>
    <row r="200" spans="1:66" ht="15" customHeight="1" x14ac:dyDescent="0.25">
      <c r="A200" s="56" t="s">
        <v>191</v>
      </c>
      <c r="B200" s="19" t="s">
        <v>20</v>
      </c>
      <c r="C200" s="56"/>
      <c r="D200" s="34">
        <v>42885</v>
      </c>
      <c r="E200" s="34">
        <v>44302</v>
      </c>
      <c r="F200" s="19"/>
      <c r="G200" s="19"/>
      <c r="H200" s="35" t="s">
        <v>1100</v>
      </c>
      <c r="I200" s="19" t="s">
        <v>1173</v>
      </c>
      <c r="J200" s="19"/>
      <c r="K200" s="56" t="s">
        <v>192</v>
      </c>
      <c r="L200" s="57" t="s">
        <v>193</v>
      </c>
      <c r="M200" s="56" t="s">
        <v>129</v>
      </c>
      <c r="N200" s="56"/>
      <c r="O200" s="56"/>
      <c r="P200" s="56"/>
      <c r="Q200" s="56"/>
      <c r="R200" s="56"/>
      <c r="S200" s="56"/>
      <c r="T200" s="56"/>
      <c r="U200" s="56"/>
      <c r="V200" s="56">
        <f t="shared" si="45"/>
        <v>0</v>
      </c>
      <c r="W200" s="56"/>
      <c r="X200" s="56"/>
      <c r="Y200" s="56"/>
      <c r="Z200" s="56">
        <v>2</v>
      </c>
      <c r="AA200" s="56"/>
      <c r="AB200" s="56"/>
      <c r="AC200" s="56"/>
      <c r="AD200" s="56"/>
      <c r="AE200" s="56"/>
      <c r="AF200" s="56">
        <f t="shared" si="48"/>
        <v>2</v>
      </c>
      <c r="AG200" s="56">
        <f t="shared" si="49"/>
        <v>0</v>
      </c>
      <c r="AH200" s="56">
        <f t="shared" si="50"/>
        <v>0</v>
      </c>
      <c r="AI200" s="56">
        <f t="shared" si="51"/>
        <v>2</v>
      </c>
      <c r="AJ200" s="56">
        <f t="shared" si="52"/>
        <v>0</v>
      </c>
      <c r="AK200" s="56">
        <f t="shared" si="53"/>
        <v>0</v>
      </c>
      <c r="AL200" s="56">
        <f t="shared" si="54"/>
        <v>0</v>
      </c>
      <c r="AM200" s="56">
        <f t="shared" si="55"/>
        <v>0</v>
      </c>
      <c r="AN200" s="56">
        <f t="shared" si="56"/>
        <v>0</v>
      </c>
      <c r="AO200" s="58">
        <f t="shared" si="57"/>
        <v>2</v>
      </c>
      <c r="AP200" s="69"/>
      <c r="AQ200" s="40">
        <v>0</v>
      </c>
      <c r="AR200" s="40">
        <v>0</v>
      </c>
      <c r="AS200" s="40">
        <f>$AO200/4</f>
        <v>0.5</v>
      </c>
      <c r="AT200" s="31">
        <f>$AO200/4</f>
        <v>0.5</v>
      </c>
      <c r="AU200" s="31">
        <f>$AO200/4</f>
        <v>0.5</v>
      </c>
      <c r="AV200" s="39">
        <f>$AO200/4</f>
        <v>0.5</v>
      </c>
      <c r="AW200" s="31"/>
      <c r="AX200" s="31"/>
      <c r="AY200" s="31"/>
      <c r="AZ200" s="31"/>
      <c r="BA200" s="39"/>
      <c r="BB200" s="152">
        <f t="shared" si="58"/>
        <v>2</v>
      </c>
      <c r="BC200" s="43">
        <v>516905</v>
      </c>
      <c r="BD200" s="43">
        <v>170733</v>
      </c>
      <c r="BE200" t="s">
        <v>1418</v>
      </c>
      <c r="BF200"/>
    </row>
    <row r="201" spans="1:66" ht="15" customHeight="1" x14ac:dyDescent="0.25">
      <c r="A201" s="56" t="s">
        <v>232</v>
      </c>
      <c r="B201" s="19" t="s">
        <v>43</v>
      </c>
      <c r="C201" s="56"/>
      <c r="D201" s="34">
        <v>43334</v>
      </c>
      <c r="E201" s="34">
        <v>44430</v>
      </c>
      <c r="F201" s="249">
        <v>44089</v>
      </c>
      <c r="G201" s="19"/>
      <c r="H201" s="35" t="s">
        <v>1100</v>
      </c>
      <c r="I201" s="19" t="s">
        <v>1173</v>
      </c>
      <c r="J201" s="19"/>
      <c r="K201" s="56" t="s">
        <v>233</v>
      </c>
      <c r="L201" s="57" t="s">
        <v>234</v>
      </c>
      <c r="M201" s="56" t="s">
        <v>235</v>
      </c>
      <c r="N201" s="56">
        <v>1</v>
      </c>
      <c r="O201" s="56">
        <v>2</v>
      </c>
      <c r="P201" s="56"/>
      <c r="Q201" s="56"/>
      <c r="R201" s="56"/>
      <c r="S201" s="56"/>
      <c r="T201" s="56"/>
      <c r="U201" s="56"/>
      <c r="V201" s="56">
        <f t="shared" si="45"/>
        <v>3</v>
      </c>
      <c r="W201" s="56"/>
      <c r="X201" s="56">
        <v>5</v>
      </c>
      <c r="Y201" s="56">
        <v>5</v>
      </c>
      <c r="Z201" s="56"/>
      <c r="AA201" s="56"/>
      <c r="AB201" s="56"/>
      <c r="AC201" s="56"/>
      <c r="AD201" s="56"/>
      <c r="AE201" s="56"/>
      <c r="AF201" s="56">
        <f t="shared" si="48"/>
        <v>10</v>
      </c>
      <c r="AG201" s="56">
        <f t="shared" si="49"/>
        <v>4</v>
      </c>
      <c r="AH201" s="56">
        <f t="shared" si="50"/>
        <v>3</v>
      </c>
      <c r="AI201" s="56">
        <f t="shared" si="51"/>
        <v>0</v>
      </c>
      <c r="AJ201" s="56">
        <f t="shared" si="52"/>
        <v>0</v>
      </c>
      <c r="AK201" s="56">
        <f t="shared" si="53"/>
        <v>0</v>
      </c>
      <c r="AL201" s="56">
        <f t="shared" si="54"/>
        <v>0</v>
      </c>
      <c r="AM201" s="56">
        <f t="shared" si="55"/>
        <v>0</v>
      </c>
      <c r="AN201" s="56">
        <f t="shared" si="56"/>
        <v>0</v>
      </c>
      <c r="AO201" s="58">
        <f t="shared" si="57"/>
        <v>7</v>
      </c>
      <c r="AP201" s="69"/>
      <c r="AQ201" s="40">
        <v>0</v>
      </c>
      <c r="AR201" s="40">
        <f>$AO201/2</f>
        <v>3.5</v>
      </c>
      <c r="AS201" s="31">
        <f>$AO201/2</f>
        <v>3.5</v>
      </c>
      <c r="AT201" s="44">
        <v>0</v>
      </c>
      <c r="AU201" s="44">
        <v>0</v>
      </c>
      <c r="AV201" s="45">
        <v>0</v>
      </c>
      <c r="AW201" s="44"/>
      <c r="AX201" s="44"/>
      <c r="AY201" s="44"/>
      <c r="AZ201" s="44"/>
      <c r="BA201" s="45"/>
      <c r="BB201" s="152">
        <f t="shared" si="58"/>
        <v>7</v>
      </c>
      <c r="BC201" s="43">
        <v>514440</v>
      </c>
      <c r="BD201" s="43">
        <v>171238</v>
      </c>
      <c r="BE201" t="s">
        <v>1458</v>
      </c>
      <c r="BF201"/>
      <c r="BI201" t="s">
        <v>1551</v>
      </c>
      <c r="BJ201" t="s">
        <v>1503</v>
      </c>
    </row>
    <row r="202" spans="1:66" ht="15" customHeight="1" x14ac:dyDescent="0.25">
      <c r="A202" s="56" t="s">
        <v>252</v>
      </c>
      <c r="B202" s="19" t="s">
        <v>20</v>
      </c>
      <c r="C202" s="56"/>
      <c r="D202" s="34">
        <v>43125</v>
      </c>
      <c r="E202" s="34">
        <v>44221</v>
      </c>
      <c r="F202" s="19"/>
      <c r="G202" s="19"/>
      <c r="H202" s="35" t="s">
        <v>1100</v>
      </c>
      <c r="I202" s="19" t="s">
        <v>1173</v>
      </c>
      <c r="J202" s="19"/>
      <c r="K202" s="56" t="s">
        <v>253</v>
      </c>
      <c r="L202" s="57" t="s">
        <v>254</v>
      </c>
      <c r="M202" s="56" t="s">
        <v>255</v>
      </c>
      <c r="N202" s="56"/>
      <c r="O202" s="56"/>
      <c r="P202" s="56"/>
      <c r="Q202" s="56">
        <v>1</v>
      </c>
      <c r="R202" s="56"/>
      <c r="S202" s="56"/>
      <c r="T202" s="56"/>
      <c r="U202" s="56"/>
      <c r="V202" s="56">
        <f t="shared" si="45"/>
        <v>1</v>
      </c>
      <c r="W202" s="56"/>
      <c r="X202" s="56"/>
      <c r="Y202" s="56"/>
      <c r="Z202" s="56"/>
      <c r="AA202" s="56"/>
      <c r="AB202" s="56">
        <v>1</v>
      </c>
      <c r="AC202" s="56"/>
      <c r="AD202" s="56"/>
      <c r="AE202" s="56"/>
      <c r="AF202" s="56">
        <f t="shared" si="48"/>
        <v>1</v>
      </c>
      <c r="AG202" s="56">
        <f t="shared" si="49"/>
        <v>0</v>
      </c>
      <c r="AH202" s="56">
        <f t="shared" si="50"/>
        <v>0</v>
      </c>
      <c r="AI202" s="56">
        <f t="shared" si="51"/>
        <v>0</v>
      </c>
      <c r="AJ202" s="56">
        <f t="shared" si="52"/>
        <v>-1</v>
      </c>
      <c r="AK202" s="56">
        <f t="shared" si="53"/>
        <v>1</v>
      </c>
      <c r="AL202" s="56">
        <f t="shared" si="54"/>
        <v>0</v>
      </c>
      <c r="AM202" s="56">
        <f t="shared" si="55"/>
        <v>0</v>
      </c>
      <c r="AN202" s="56">
        <f t="shared" si="56"/>
        <v>0</v>
      </c>
      <c r="AO202" s="58">
        <f t="shared" si="57"/>
        <v>0</v>
      </c>
      <c r="AP202" s="69"/>
      <c r="AQ202" s="40">
        <v>0</v>
      </c>
      <c r="AR202" s="40">
        <v>0</v>
      </c>
      <c r="AS202" s="31">
        <v>0</v>
      </c>
      <c r="AT202" s="31">
        <v>0</v>
      </c>
      <c r="AU202" s="31">
        <v>0</v>
      </c>
      <c r="AV202" s="39">
        <v>0</v>
      </c>
      <c r="AW202" s="31"/>
      <c r="AX202" s="31"/>
      <c r="AY202" s="31"/>
      <c r="AZ202" s="31"/>
      <c r="BA202" s="39"/>
      <c r="BB202" s="152">
        <f t="shared" si="58"/>
        <v>0</v>
      </c>
      <c r="BC202" s="43">
        <v>519633</v>
      </c>
      <c r="BD202" s="43">
        <v>174966</v>
      </c>
      <c r="BE202" t="s">
        <v>1423</v>
      </c>
      <c r="BF202"/>
      <c r="BM202" t="s">
        <v>1545</v>
      </c>
      <c r="BN202" t="s">
        <v>1533</v>
      </c>
    </row>
    <row r="203" spans="1:66" ht="15" customHeight="1" x14ac:dyDescent="0.25">
      <c r="A203" s="56" t="s">
        <v>260</v>
      </c>
      <c r="B203" s="19" t="s">
        <v>20</v>
      </c>
      <c r="C203" s="56"/>
      <c r="D203" s="34">
        <v>42881</v>
      </c>
      <c r="E203" s="34">
        <v>43977</v>
      </c>
      <c r="F203" s="19"/>
      <c r="G203" s="19"/>
      <c r="H203" s="35" t="s">
        <v>1100</v>
      </c>
      <c r="I203" s="19" t="s">
        <v>1173</v>
      </c>
      <c r="J203" s="19"/>
      <c r="K203" s="56" t="s">
        <v>261</v>
      </c>
      <c r="L203" s="57" t="s">
        <v>262</v>
      </c>
      <c r="M203" s="56" t="s">
        <v>263</v>
      </c>
      <c r="N203" s="56"/>
      <c r="O203" s="56"/>
      <c r="P203" s="56"/>
      <c r="Q203" s="56">
        <v>1</v>
      </c>
      <c r="R203" s="56"/>
      <c r="S203" s="56"/>
      <c r="T203" s="56"/>
      <c r="U203" s="56"/>
      <c r="V203" s="56">
        <f t="shared" ref="V203:V234" si="59">SUM(N203:U203)</f>
        <v>1</v>
      </c>
      <c r="W203" s="56"/>
      <c r="X203" s="56"/>
      <c r="Y203" s="56"/>
      <c r="Z203" s="56"/>
      <c r="AA203" s="56"/>
      <c r="AB203" s="56">
        <v>1</v>
      </c>
      <c r="AC203" s="56"/>
      <c r="AD203" s="56"/>
      <c r="AE203" s="56"/>
      <c r="AF203" s="56">
        <f t="shared" si="48"/>
        <v>1</v>
      </c>
      <c r="AG203" s="56">
        <f t="shared" si="49"/>
        <v>0</v>
      </c>
      <c r="AH203" s="56">
        <f t="shared" si="50"/>
        <v>0</v>
      </c>
      <c r="AI203" s="56">
        <f t="shared" si="51"/>
        <v>0</v>
      </c>
      <c r="AJ203" s="56">
        <f t="shared" si="52"/>
        <v>-1</v>
      </c>
      <c r="AK203" s="56">
        <f t="shared" si="53"/>
        <v>1</v>
      </c>
      <c r="AL203" s="56">
        <f t="shared" si="54"/>
        <v>0</v>
      </c>
      <c r="AM203" s="56">
        <f t="shared" si="55"/>
        <v>0</v>
      </c>
      <c r="AN203" s="56">
        <f t="shared" si="56"/>
        <v>0</v>
      </c>
      <c r="AO203" s="58">
        <f t="shared" si="57"/>
        <v>0</v>
      </c>
      <c r="AP203" s="69"/>
      <c r="AQ203" s="40">
        <v>0</v>
      </c>
      <c r="AR203" s="40">
        <v>0</v>
      </c>
      <c r="AS203" s="31">
        <v>0</v>
      </c>
      <c r="AT203" s="31">
        <v>0</v>
      </c>
      <c r="AU203" s="31">
        <v>0</v>
      </c>
      <c r="AV203" s="39">
        <v>0</v>
      </c>
      <c r="AW203" s="31"/>
      <c r="AX203" s="31"/>
      <c r="AY203" s="31"/>
      <c r="AZ203" s="31"/>
      <c r="BA203" s="39"/>
      <c r="BB203" s="152">
        <f t="shared" si="58"/>
        <v>0</v>
      </c>
      <c r="BC203" s="43">
        <v>517972</v>
      </c>
      <c r="BD203" s="43">
        <v>172874</v>
      </c>
      <c r="BE203" t="s">
        <v>1487</v>
      </c>
      <c r="BF203"/>
    </row>
    <row r="204" spans="1:66" ht="15" customHeight="1" x14ac:dyDescent="0.25">
      <c r="A204" s="56" t="s">
        <v>1338</v>
      </c>
      <c r="B204" s="19" t="s">
        <v>43</v>
      </c>
      <c r="C204" s="56"/>
      <c r="D204" s="34">
        <v>42866</v>
      </c>
      <c r="E204" s="34">
        <v>43962</v>
      </c>
      <c r="F204" s="19"/>
      <c r="G204" s="19"/>
      <c r="H204" s="35" t="s">
        <v>1100</v>
      </c>
      <c r="I204" s="19" t="s">
        <v>1173</v>
      </c>
      <c r="J204" s="19"/>
      <c r="K204" s="56" t="s">
        <v>1339</v>
      </c>
      <c r="L204" s="57" t="s">
        <v>1340</v>
      </c>
      <c r="M204" s="56"/>
      <c r="N204" s="56"/>
      <c r="O204" s="56"/>
      <c r="P204" s="56"/>
      <c r="Q204" s="56"/>
      <c r="R204" s="56"/>
      <c r="S204" s="56"/>
      <c r="T204" s="56">
        <v>1</v>
      </c>
      <c r="U204" s="56"/>
      <c r="V204" s="56">
        <f t="shared" si="59"/>
        <v>1</v>
      </c>
      <c r="W204" s="56"/>
      <c r="X204" s="56">
        <v>1</v>
      </c>
      <c r="Y204" s="56">
        <v>1</v>
      </c>
      <c r="Z204" s="56">
        <v>1</v>
      </c>
      <c r="AA204" s="56"/>
      <c r="AB204" s="56"/>
      <c r="AC204" s="56"/>
      <c r="AD204" s="56"/>
      <c r="AE204" s="56"/>
      <c r="AF204" s="56">
        <f t="shared" si="48"/>
        <v>3</v>
      </c>
      <c r="AG204" s="56">
        <f t="shared" si="49"/>
        <v>1</v>
      </c>
      <c r="AH204" s="56">
        <f t="shared" si="50"/>
        <v>1</v>
      </c>
      <c r="AI204" s="56">
        <f t="shared" si="51"/>
        <v>1</v>
      </c>
      <c r="AJ204" s="56">
        <f t="shared" si="52"/>
        <v>0</v>
      </c>
      <c r="AK204" s="56">
        <f t="shared" si="53"/>
        <v>0</v>
      </c>
      <c r="AL204" s="56">
        <f t="shared" si="54"/>
        <v>0</v>
      </c>
      <c r="AM204" s="56">
        <f t="shared" si="55"/>
        <v>-1</v>
      </c>
      <c r="AN204" s="56">
        <f t="shared" si="56"/>
        <v>0</v>
      </c>
      <c r="AO204" s="58">
        <v>2</v>
      </c>
      <c r="AP204" s="69"/>
      <c r="AQ204" s="40">
        <v>0</v>
      </c>
      <c r="AR204" s="40">
        <v>0</v>
      </c>
      <c r="AS204" s="31">
        <f t="shared" ref="AS204:AV205" si="60">$AO204/4</f>
        <v>0.5</v>
      </c>
      <c r="AT204" s="31">
        <f t="shared" si="60"/>
        <v>0.5</v>
      </c>
      <c r="AU204" s="31">
        <f t="shared" si="60"/>
        <v>0.5</v>
      </c>
      <c r="AV204" s="39">
        <f t="shared" si="60"/>
        <v>0.5</v>
      </c>
      <c r="AW204" s="31"/>
      <c r="AX204" s="31"/>
      <c r="AY204" s="31"/>
      <c r="AZ204" s="31"/>
      <c r="BA204" s="39"/>
      <c r="BB204" s="152">
        <f t="shared" si="58"/>
        <v>2</v>
      </c>
      <c r="BC204" s="43">
        <v>514331</v>
      </c>
      <c r="BD204" s="43">
        <v>172184</v>
      </c>
      <c r="BE204" t="s">
        <v>1427</v>
      </c>
      <c r="BF204"/>
    </row>
    <row r="205" spans="1:66" ht="15" customHeight="1" x14ac:dyDescent="0.25">
      <c r="A205" s="56" t="s">
        <v>311</v>
      </c>
      <c r="B205" s="19" t="s">
        <v>20</v>
      </c>
      <c r="C205" s="56"/>
      <c r="D205" s="34">
        <v>43035</v>
      </c>
      <c r="E205" s="34">
        <v>44131</v>
      </c>
      <c r="F205" s="19"/>
      <c r="G205" s="19"/>
      <c r="H205" s="58" t="s">
        <v>1100</v>
      </c>
      <c r="I205" s="19" t="s">
        <v>1173</v>
      </c>
      <c r="J205" s="19"/>
      <c r="K205" s="56" t="s">
        <v>312</v>
      </c>
      <c r="L205" s="57" t="s">
        <v>1110</v>
      </c>
      <c r="M205" s="56" t="s">
        <v>313</v>
      </c>
      <c r="N205" s="56"/>
      <c r="O205" s="56"/>
      <c r="P205" s="56"/>
      <c r="Q205" s="56"/>
      <c r="R205" s="56"/>
      <c r="S205" s="56"/>
      <c r="T205" s="56"/>
      <c r="U205" s="56"/>
      <c r="V205" s="56">
        <f t="shared" si="59"/>
        <v>0</v>
      </c>
      <c r="W205" s="56"/>
      <c r="X205" s="56">
        <v>1</v>
      </c>
      <c r="Y205" s="56"/>
      <c r="Z205" s="56"/>
      <c r="AA205" s="56"/>
      <c r="AB205" s="56"/>
      <c r="AC205" s="56"/>
      <c r="AD205" s="56"/>
      <c r="AE205" s="56"/>
      <c r="AF205" s="56">
        <f t="shared" si="48"/>
        <v>1</v>
      </c>
      <c r="AG205" s="56">
        <f t="shared" si="49"/>
        <v>1</v>
      </c>
      <c r="AH205" s="56">
        <f t="shared" si="50"/>
        <v>0</v>
      </c>
      <c r="AI205" s="56">
        <f t="shared" si="51"/>
        <v>0</v>
      </c>
      <c r="AJ205" s="56">
        <f t="shared" si="52"/>
        <v>0</v>
      </c>
      <c r="AK205" s="56">
        <f t="shared" si="53"/>
        <v>0</v>
      </c>
      <c r="AL205" s="56">
        <f t="shared" si="54"/>
        <v>0</v>
      </c>
      <c r="AM205" s="56">
        <f t="shared" si="55"/>
        <v>0</v>
      </c>
      <c r="AN205" s="56">
        <f t="shared" si="56"/>
        <v>0</v>
      </c>
      <c r="AO205" s="58">
        <f t="shared" ref="AO205:AO236" si="61">AF205-V205</f>
        <v>1</v>
      </c>
      <c r="AP205" s="69"/>
      <c r="AQ205" s="40">
        <v>0</v>
      </c>
      <c r="AR205" s="40">
        <v>0</v>
      </c>
      <c r="AS205" s="44">
        <f t="shared" si="60"/>
        <v>0.25</v>
      </c>
      <c r="AT205" s="44">
        <f t="shared" si="60"/>
        <v>0.25</v>
      </c>
      <c r="AU205" s="44">
        <f t="shared" si="60"/>
        <v>0.25</v>
      </c>
      <c r="AV205" s="45">
        <f t="shared" si="60"/>
        <v>0.25</v>
      </c>
      <c r="AW205" s="44"/>
      <c r="AX205" s="44"/>
      <c r="AY205" s="44"/>
      <c r="AZ205" s="44"/>
      <c r="BA205" s="45"/>
      <c r="BB205" s="152">
        <f t="shared" si="58"/>
        <v>1</v>
      </c>
      <c r="BC205" s="43">
        <v>520624</v>
      </c>
      <c r="BD205" s="43">
        <v>175780</v>
      </c>
      <c r="BE205" t="s">
        <v>1459</v>
      </c>
      <c r="BF205" t="s">
        <v>1410</v>
      </c>
      <c r="BM205" t="s">
        <v>1545</v>
      </c>
      <c r="BN205" t="s">
        <v>1534</v>
      </c>
    </row>
    <row r="206" spans="1:66" ht="15" customHeight="1" x14ac:dyDescent="0.25">
      <c r="A206" s="56" t="s">
        <v>318</v>
      </c>
      <c r="B206" s="19" t="s">
        <v>20</v>
      </c>
      <c r="C206" s="56"/>
      <c r="D206" s="34">
        <v>43251</v>
      </c>
      <c r="E206" s="34">
        <v>44347</v>
      </c>
      <c r="F206" s="19"/>
      <c r="G206" s="19"/>
      <c r="H206" s="58" t="s">
        <v>1100</v>
      </c>
      <c r="I206" s="19" t="s">
        <v>1173</v>
      </c>
      <c r="J206" s="19" t="s">
        <v>1562</v>
      </c>
      <c r="K206" s="56" t="s">
        <v>319</v>
      </c>
      <c r="L206" s="46" t="s">
        <v>320</v>
      </c>
      <c r="M206" s="56" t="s">
        <v>321</v>
      </c>
      <c r="N206" s="56">
        <v>2</v>
      </c>
      <c r="O206" s="56">
        <v>1</v>
      </c>
      <c r="P206" s="56"/>
      <c r="Q206" s="56"/>
      <c r="R206" s="56"/>
      <c r="S206" s="56"/>
      <c r="T206" s="56"/>
      <c r="U206" s="56"/>
      <c r="V206" s="56">
        <f t="shared" si="59"/>
        <v>3</v>
      </c>
      <c r="W206" s="56"/>
      <c r="X206" s="56">
        <v>19</v>
      </c>
      <c r="Y206" s="56">
        <v>17</v>
      </c>
      <c r="Z206" s="56">
        <v>5</v>
      </c>
      <c r="AA206" s="56"/>
      <c r="AB206" s="56"/>
      <c r="AC206" s="56"/>
      <c r="AD206" s="56"/>
      <c r="AE206" s="56"/>
      <c r="AF206" s="56">
        <f t="shared" si="48"/>
        <v>41</v>
      </c>
      <c r="AG206" s="56">
        <f t="shared" si="49"/>
        <v>17</v>
      </c>
      <c r="AH206" s="56">
        <f t="shared" si="50"/>
        <v>16</v>
      </c>
      <c r="AI206" s="56">
        <f t="shared" si="51"/>
        <v>5</v>
      </c>
      <c r="AJ206" s="56">
        <f t="shared" si="52"/>
        <v>0</v>
      </c>
      <c r="AK206" s="56">
        <f t="shared" si="53"/>
        <v>0</v>
      </c>
      <c r="AL206" s="56">
        <f t="shared" si="54"/>
        <v>0</v>
      </c>
      <c r="AM206" s="56">
        <f t="shared" si="55"/>
        <v>0</v>
      </c>
      <c r="AN206" s="56">
        <f t="shared" si="56"/>
        <v>0</v>
      </c>
      <c r="AO206" s="58">
        <f t="shared" si="61"/>
        <v>38</v>
      </c>
      <c r="AP206" s="248"/>
      <c r="AQ206" s="40">
        <v>0</v>
      </c>
      <c r="AR206" s="40">
        <v>0</v>
      </c>
      <c r="AS206" s="31">
        <v>0</v>
      </c>
      <c r="AT206" s="31">
        <v>0</v>
      </c>
      <c r="AU206" s="31">
        <v>0</v>
      </c>
      <c r="AV206" s="39">
        <v>0</v>
      </c>
      <c r="AW206" s="31">
        <f>$AO206/5</f>
        <v>7.6</v>
      </c>
      <c r="AX206" s="31">
        <f>$AO206/5</f>
        <v>7.6</v>
      </c>
      <c r="AY206" s="31">
        <f>$AO206/5</f>
        <v>7.6</v>
      </c>
      <c r="AZ206" s="31">
        <f>$AO206/5</f>
        <v>7.6</v>
      </c>
      <c r="BA206" s="39">
        <f>$AO206/5</f>
        <v>7.6</v>
      </c>
      <c r="BB206" s="152">
        <f t="shared" si="58"/>
        <v>38</v>
      </c>
      <c r="BC206" s="43">
        <v>514240</v>
      </c>
      <c r="BD206" s="43">
        <v>170830</v>
      </c>
      <c r="BE206" t="s">
        <v>1458</v>
      </c>
      <c r="BF206"/>
      <c r="BI206" t="s">
        <v>1551</v>
      </c>
      <c r="BJ206" t="s">
        <v>1503</v>
      </c>
      <c r="BM206" t="s">
        <v>1545</v>
      </c>
      <c r="BN206" t="s">
        <v>1504</v>
      </c>
    </row>
    <row r="207" spans="1:66" ht="15" customHeight="1" x14ac:dyDescent="0.25">
      <c r="A207" s="56" t="s">
        <v>322</v>
      </c>
      <c r="B207" s="19" t="s">
        <v>31</v>
      </c>
      <c r="C207" s="56"/>
      <c r="D207" s="34">
        <v>42913</v>
      </c>
      <c r="E207" s="37">
        <v>44009</v>
      </c>
      <c r="F207" s="37">
        <v>43984</v>
      </c>
      <c r="G207" s="19"/>
      <c r="H207" s="58" t="s">
        <v>1100</v>
      </c>
      <c r="I207" s="19" t="s">
        <v>1173</v>
      </c>
      <c r="J207" s="19"/>
      <c r="K207" s="56" t="s">
        <v>323</v>
      </c>
      <c r="L207" s="57" t="s">
        <v>324</v>
      </c>
      <c r="M207" s="56" t="s">
        <v>325</v>
      </c>
      <c r="N207" s="56"/>
      <c r="O207" s="56"/>
      <c r="P207" s="56"/>
      <c r="Q207" s="56"/>
      <c r="R207" s="56"/>
      <c r="S207" s="56"/>
      <c r="T207" s="56"/>
      <c r="U207" s="56"/>
      <c r="V207" s="56">
        <f t="shared" si="59"/>
        <v>0</v>
      </c>
      <c r="W207" s="56"/>
      <c r="X207" s="56">
        <v>1</v>
      </c>
      <c r="Y207" s="56"/>
      <c r="Z207" s="56"/>
      <c r="AA207" s="56"/>
      <c r="AB207" s="56"/>
      <c r="AC207" s="56"/>
      <c r="AD207" s="56"/>
      <c r="AE207" s="56"/>
      <c r="AF207" s="56">
        <f t="shared" si="48"/>
        <v>1</v>
      </c>
      <c r="AG207" s="56">
        <f t="shared" si="49"/>
        <v>1</v>
      </c>
      <c r="AH207" s="56">
        <f t="shared" si="50"/>
        <v>0</v>
      </c>
      <c r="AI207" s="56">
        <f t="shared" si="51"/>
        <v>0</v>
      </c>
      <c r="AJ207" s="56">
        <f t="shared" si="52"/>
        <v>0</v>
      </c>
      <c r="AK207" s="56">
        <f t="shared" si="53"/>
        <v>0</v>
      </c>
      <c r="AL207" s="56">
        <f t="shared" si="54"/>
        <v>0</v>
      </c>
      <c r="AM207" s="56">
        <f t="shared" si="55"/>
        <v>0</v>
      </c>
      <c r="AN207" s="56">
        <f t="shared" si="56"/>
        <v>0</v>
      </c>
      <c r="AO207" s="58">
        <f t="shared" si="61"/>
        <v>1</v>
      </c>
      <c r="AP207" s="69"/>
      <c r="AQ207" s="40">
        <v>0</v>
      </c>
      <c r="AR207" s="40">
        <v>1</v>
      </c>
      <c r="AS207" s="31">
        <v>0</v>
      </c>
      <c r="AT207" s="31">
        <v>0</v>
      </c>
      <c r="AU207" s="31">
        <v>0</v>
      </c>
      <c r="AV207" s="39">
        <v>0</v>
      </c>
      <c r="AW207" s="31"/>
      <c r="AX207" s="31"/>
      <c r="AY207" s="31"/>
      <c r="AZ207" s="31"/>
      <c r="BA207" s="39"/>
      <c r="BB207" s="152">
        <f t="shared" si="58"/>
        <v>1</v>
      </c>
      <c r="BC207" s="43">
        <v>520283</v>
      </c>
      <c r="BD207" s="43">
        <v>175017</v>
      </c>
      <c r="BE207" t="s">
        <v>1402</v>
      </c>
      <c r="BF207"/>
    </row>
    <row r="208" spans="1:66" ht="15" customHeight="1" x14ac:dyDescent="0.25">
      <c r="A208" s="56" t="s">
        <v>342</v>
      </c>
      <c r="B208" s="19" t="s">
        <v>48</v>
      </c>
      <c r="C208" s="56"/>
      <c r="D208" s="34">
        <v>43263</v>
      </c>
      <c r="E208" s="34">
        <v>44359</v>
      </c>
      <c r="F208" s="19"/>
      <c r="G208" s="19"/>
      <c r="H208" s="58" t="s">
        <v>1100</v>
      </c>
      <c r="I208" s="19" t="s">
        <v>1173</v>
      </c>
      <c r="J208" s="19"/>
      <c r="K208" s="56" t="s">
        <v>343</v>
      </c>
      <c r="L208" s="57" t="s">
        <v>344</v>
      </c>
      <c r="M208" s="56" t="s">
        <v>345</v>
      </c>
      <c r="N208" s="56"/>
      <c r="O208" s="56"/>
      <c r="P208" s="56"/>
      <c r="Q208" s="56"/>
      <c r="R208" s="56"/>
      <c r="S208" s="56"/>
      <c r="T208" s="56"/>
      <c r="U208" s="56"/>
      <c r="V208" s="56">
        <f t="shared" si="59"/>
        <v>0</v>
      </c>
      <c r="W208" s="56"/>
      <c r="X208" s="56">
        <v>3</v>
      </c>
      <c r="Y208" s="56">
        <v>1</v>
      </c>
      <c r="Z208" s="56"/>
      <c r="AA208" s="56"/>
      <c r="AB208" s="56"/>
      <c r="AC208" s="56"/>
      <c r="AD208" s="56"/>
      <c r="AE208" s="56"/>
      <c r="AF208" s="56">
        <f t="shared" si="48"/>
        <v>4</v>
      </c>
      <c r="AG208" s="56">
        <f t="shared" si="49"/>
        <v>3</v>
      </c>
      <c r="AH208" s="56">
        <f t="shared" si="50"/>
        <v>1</v>
      </c>
      <c r="AI208" s="56">
        <f t="shared" si="51"/>
        <v>0</v>
      </c>
      <c r="AJ208" s="56">
        <f t="shared" si="52"/>
        <v>0</v>
      </c>
      <c r="AK208" s="56">
        <f t="shared" si="53"/>
        <v>0</v>
      </c>
      <c r="AL208" s="56">
        <f t="shared" si="54"/>
        <v>0</v>
      </c>
      <c r="AM208" s="56">
        <f t="shared" si="55"/>
        <v>0</v>
      </c>
      <c r="AN208" s="56">
        <f t="shared" si="56"/>
        <v>0</v>
      </c>
      <c r="AO208" s="58">
        <f t="shared" si="61"/>
        <v>4</v>
      </c>
      <c r="AP208" s="69"/>
      <c r="AQ208" s="40">
        <v>0</v>
      </c>
      <c r="AR208" s="40">
        <v>0</v>
      </c>
      <c r="AS208" s="31">
        <f t="shared" ref="AS208:AV214" si="62">$AO208/4</f>
        <v>1</v>
      </c>
      <c r="AT208" s="31">
        <f t="shared" si="62"/>
        <v>1</v>
      </c>
      <c r="AU208" s="31">
        <f t="shared" si="62"/>
        <v>1</v>
      </c>
      <c r="AV208" s="39">
        <f t="shared" si="62"/>
        <v>1</v>
      </c>
      <c r="AW208" s="31"/>
      <c r="AX208" s="31"/>
      <c r="AY208" s="31"/>
      <c r="AZ208" s="31"/>
      <c r="BA208" s="39"/>
      <c r="BB208" s="152">
        <f t="shared" si="58"/>
        <v>4</v>
      </c>
      <c r="BC208" s="43">
        <v>517591</v>
      </c>
      <c r="BD208" s="43">
        <v>174434</v>
      </c>
      <c r="BE208" t="s">
        <v>1426</v>
      </c>
      <c r="BF208"/>
      <c r="BI208" t="s">
        <v>1551</v>
      </c>
      <c r="BJ208" t="s">
        <v>1535</v>
      </c>
      <c r="BM208" t="s">
        <v>1545</v>
      </c>
      <c r="BN208" t="s">
        <v>1536</v>
      </c>
    </row>
    <row r="209" spans="1:66" ht="15" customHeight="1" x14ac:dyDescent="0.25">
      <c r="A209" s="56" t="s">
        <v>354</v>
      </c>
      <c r="B209" s="19" t="s">
        <v>31</v>
      </c>
      <c r="C209" s="56" t="s">
        <v>1203</v>
      </c>
      <c r="D209" s="34">
        <v>42849</v>
      </c>
      <c r="E209" s="34">
        <v>43945</v>
      </c>
      <c r="F209" s="19"/>
      <c r="G209" s="19"/>
      <c r="H209" s="36" t="s">
        <v>1100</v>
      </c>
      <c r="I209" s="19" t="s">
        <v>1173</v>
      </c>
      <c r="J209" s="19"/>
      <c r="K209" s="56" t="s">
        <v>355</v>
      </c>
      <c r="L209" s="57" t="s">
        <v>356</v>
      </c>
      <c r="M209" s="56" t="s">
        <v>357</v>
      </c>
      <c r="N209" s="56"/>
      <c r="O209" s="56"/>
      <c r="P209" s="56"/>
      <c r="Q209" s="56"/>
      <c r="R209" s="56"/>
      <c r="S209" s="56"/>
      <c r="T209" s="56"/>
      <c r="U209" s="56"/>
      <c r="V209" s="56">
        <f t="shared" si="59"/>
        <v>0</v>
      </c>
      <c r="W209" s="56"/>
      <c r="X209" s="56"/>
      <c r="Y209" s="56"/>
      <c r="Z209" s="56">
        <v>1</v>
      </c>
      <c r="AA209" s="56"/>
      <c r="AB209" s="56"/>
      <c r="AC209" s="56"/>
      <c r="AD209" s="56"/>
      <c r="AE209" s="56"/>
      <c r="AF209" s="56">
        <f t="shared" si="48"/>
        <v>1</v>
      </c>
      <c r="AG209" s="56">
        <f t="shared" si="49"/>
        <v>0</v>
      </c>
      <c r="AH209" s="56">
        <f t="shared" si="50"/>
        <v>0</v>
      </c>
      <c r="AI209" s="56">
        <f t="shared" si="51"/>
        <v>1</v>
      </c>
      <c r="AJ209" s="56">
        <f t="shared" si="52"/>
        <v>0</v>
      </c>
      <c r="AK209" s="56">
        <f t="shared" si="53"/>
        <v>0</v>
      </c>
      <c r="AL209" s="56">
        <f t="shared" si="54"/>
        <v>0</v>
      </c>
      <c r="AM209" s="56">
        <f t="shared" si="55"/>
        <v>0</v>
      </c>
      <c r="AN209" s="56">
        <f t="shared" si="56"/>
        <v>0</v>
      </c>
      <c r="AO209" s="58">
        <f t="shared" si="61"/>
        <v>1</v>
      </c>
      <c r="AP209" s="69"/>
      <c r="AQ209" s="40">
        <v>0</v>
      </c>
      <c r="AR209" s="40">
        <v>0</v>
      </c>
      <c r="AS209" s="44">
        <f t="shared" si="62"/>
        <v>0.25</v>
      </c>
      <c r="AT209" s="44">
        <f t="shared" si="62"/>
        <v>0.25</v>
      </c>
      <c r="AU209" s="44">
        <f t="shared" si="62"/>
        <v>0.25</v>
      </c>
      <c r="AV209" s="45">
        <f t="shared" si="62"/>
        <v>0.25</v>
      </c>
      <c r="AW209" s="44"/>
      <c r="AX209" s="44"/>
      <c r="AY209" s="44"/>
      <c r="AZ209" s="44"/>
      <c r="BA209" s="45"/>
      <c r="BB209" s="152">
        <f t="shared" si="58"/>
        <v>1</v>
      </c>
      <c r="BC209" s="43">
        <v>516015</v>
      </c>
      <c r="BD209" s="43">
        <v>170858</v>
      </c>
      <c r="BE209" t="s">
        <v>1405</v>
      </c>
      <c r="BF209"/>
      <c r="BG209" t="s">
        <v>1405</v>
      </c>
    </row>
    <row r="210" spans="1:66" ht="15" customHeight="1" x14ac:dyDescent="0.25">
      <c r="A210" s="56" t="s">
        <v>358</v>
      </c>
      <c r="B210" s="19" t="s">
        <v>38</v>
      </c>
      <c r="C210" s="56"/>
      <c r="D210" s="34">
        <v>42978</v>
      </c>
      <c r="E210" s="34">
        <v>44074</v>
      </c>
      <c r="F210" s="34"/>
      <c r="G210" s="19"/>
      <c r="H210" s="36" t="s">
        <v>1100</v>
      </c>
      <c r="I210" s="19" t="s">
        <v>1173</v>
      </c>
      <c r="J210" s="19"/>
      <c r="K210" s="56" t="s">
        <v>359</v>
      </c>
      <c r="L210" s="57" t="s">
        <v>360</v>
      </c>
      <c r="M210" s="56" t="s">
        <v>361</v>
      </c>
      <c r="N210" s="56"/>
      <c r="O210" s="56"/>
      <c r="P210" s="56"/>
      <c r="Q210" s="56">
        <v>1</v>
      </c>
      <c r="R210" s="56"/>
      <c r="S210" s="56"/>
      <c r="T210" s="56"/>
      <c r="U210" s="56"/>
      <c r="V210" s="56">
        <f t="shared" si="59"/>
        <v>1</v>
      </c>
      <c r="W210" s="56"/>
      <c r="X210" s="56"/>
      <c r="Y210" s="56">
        <v>2</v>
      </c>
      <c r="Z210" s="56"/>
      <c r="AA210" s="56"/>
      <c r="AB210" s="56"/>
      <c r="AC210" s="56"/>
      <c r="AD210" s="56"/>
      <c r="AE210" s="56"/>
      <c r="AF210" s="56">
        <f t="shared" si="48"/>
        <v>2</v>
      </c>
      <c r="AG210" s="56">
        <f t="shared" si="49"/>
        <v>0</v>
      </c>
      <c r="AH210" s="56">
        <f t="shared" si="50"/>
        <v>2</v>
      </c>
      <c r="AI210" s="56">
        <f t="shared" si="51"/>
        <v>0</v>
      </c>
      <c r="AJ210" s="56">
        <f t="shared" si="52"/>
        <v>-1</v>
      </c>
      <c r="AK210" s="56">
        <f t="shared" si="53"/>
        <v>0</v>
      </c>
      <c r="AL210" s="56">
        <f t="shared" si="54"/>
        <v>0</v>
      </c>
      <c r="AM210" s="56">
        <f t="shared" si="55"/>
        <v>0</v>
      </c>
      <c r="AN210" s="56">
        <f t="shared" si="56"/>
        <v>0</v>
      </c>
      <c r="AO210" s="58">
        <f t="shared" si="61"/>
        <v>1</v>
      </c>
      <c r="AP210" s="69"/>
      <c r="AQ210" s="40">
        <v>0</v>
      </c>
      <c r="AR210" s="40">
        <v>0</v>
      </c>
      <c r="AS210" s="44">
        <f t="shared" si="62"/>
        <v>0.25</v>
      </c>
      <c r="AT210" s="44">
        <f t="shared" si="62"/>
        <v>0.25</v>
      </c>
      <c r="AU210" s="44">
        <f t="shared" si="62"/>
        <v>0.25</v>
      </c>
      <c r="AV210" s="45">
        <f t="shared" si="62"/>
        <v>0.25</v>
      </c>
      <c r="AW210" s="44"/>
      <c r="AX210" s="44"/>
      <c r="AY210" s="44"/>
      <c r="AZ210" s="44"/>
      <c r="BA210" s="45"/>
      <c r="BB210" s="152">
        <f t="shared" si="58"/>
        <v>1</v>
      </c>
      <c r="BC210" s="43">
        <v>519014</v>
      </c>
      <c r="BD210" s="43">
        <v>175279</v>
      </c>
      <c r="BE210" t="s">
        <v>1422</v>
      </c>
      <c r="BF210"/>
    </row>
    <row r="211" spans="1:66" ht="15" customHeight="1" x14ac:dyDescent="0.25">
      <c r="A211" s="56" t="s">
        <v>369</v>
      </c>
      <c r="B211" s="19" t="s">
        <v>31</v>
      </c>
      <c r="C211" s="56"/>
      <c r="D211" s="34">
        <v>43119</v>
      </c>
      <c r="E211" s="34">
        <v>44215</v>
      </c>
      <c r="F211" s="19"/>
      <c r="G211" s="19"/>
      <c r="H211" s="58" t="s">
        <v>1100</v>
      </c>
      <c r="I211" s="19" t="s">
        <v>1173</v>
      </c>
      <c r="J211" s="19"/>
      <c r="K211" s="56" t="s">
        <v>370</v>
      </c>
      <c r="L211" s="57" t="s">
        <v>371</v>
      </c>
      <c r="M211" s="56" t="s">
        <v>372</v>
      </c>
      <c r="N211" s="56"/>
      <c r="O211" s="56"/>
      <c r="P211" s="56"/>
      <c r="Q211" s="56"/>
      <c r="R211" s="56"/>
      <c r="S211" s="56"/>
      <c r="T211" s="56"/>
      <c r="U211" s="56"/>
      <c r="V211" s="56">
        <f t="shared" si="59"/>
        <v>0</v>
      </c>
      <c r="W211" s="56"/>
      <c r="X211" s="56">
        <v>2</v>
      </c>
      <c r="Y211" s="56"/>
      <c r="Z211" s="56"/>
      <c r="AA211" s="56"/>
      <c r="AB211" s="56"/>
      <c r="AC211" s="56"/>
      <c r="AD211" s="56"/>
      <c r="AE211" s="56"/>
      <c r="AF211" s="56">
        <f t="shared" si="48"/>
        <v>2</v>
      </c>
      <c r="AG211" s="56">
        <f t="shared" si="49"/>
        <v>2</v>
      </c>
      <c r="AH211" s="56">
        <f t="shared" si="50"/>
        <v>0</v>
      </c>
      <c r="AI211" s="56">
        <f t="shared" si="51"/>
        <v>0</v>
      </c>
      <c r="AJ211" s="56">
        <f t="shared" si="52"/>
        <v>0</v>
      </c>
      <c r="AK211" s="56">
        <f t="shared" si="53"/>
        <v>0</v>
      </c>
      <c r="AL211" s="56">
        <f t="shared" si="54"/>
        <v>0</v>
      </c>
      <c r="AM211" s="56">
        <f t="shared" si="55"/>
        <v>0</v>
      </c>
      <c r="AN211" s="56">
        <f t="shared" si="56"/>
        <v>0</v>
      </c>
      <c r="AO211" s="58">
        <f t="shared" si="61"/>
        <v>2</v>
      </c>
      <c r="AP211" s="69"/>
      <c r="AQ211" s="40">
        <v>0</v>
      </c>
      <c r="AR211" s="40">
        <v>0</v>
      </c>
      <c r="AS211" s="31">
        <f t="shared" si="62"/>
        <v>0.5</v>
      </c>
      <c r="AT211" s="31">
        <f t="shared" si="62"/>
        <v>0.5</v>
      </c>
      <c r="AU211" s="31">
        <f t="shared" si="62"/>
        <v>0.5</v>
      </c>
      <c r="AV211" s="39">
        <f t="shared" si="62"/>
        <v>0.5</v>
      </c>
      <c r="AW211" s="31"/>
      <c r="AX211" s="31"/>
      <c r="AY211" s="31"/>
      <c r="AZ211" s="31"/>
      <c r="BA211" s="39"/>
      <c r="BB211" s="152">
        <f t="shared" si="58"/>
        <v>2</v>
      </c>
      <c r="BC211" s="43">
        <v>516126</v>
      </c>
      <c r="BD211" s="43">
        <v>173185</v>
      </c>
      <c r="BE211" t="s">
        <v>1426</v>
      </c>
      <c r="BF211"/>
      <c r="BG211" t="s">
        <v>1406</v>
      </c>
    </row>
    <row r="212" spans="1:66" ht="15" customHeight="1" x14ac:dyDescent="0.25">
      <c r="A212" s="56" t="s">
        <v>377</v>
      </c>
      <c r="B212" s="19" t="s">
        <v>20</v>
      </c>
      <c r="C212" s="56"/>
      <c r="D212" s="34">
        <v>43056</v>
      </c>
      <c r="E212" s="34">
        <v>44204</v>
      </c>
      <c r="F212" s="105"/>
      <c r="G212" s="19"/>
      <c r="H212" s="33" t="s">
        <v>1100</v>
      </c>
      <c r="I212" s="19" t="s">
        <v>1173</v>
      </c>
      <c r="J212" s="19"/>
      <c r="K212" s="56" t="s">
        <v>378</v>
      </c>
      <c r="L212" s="60" t="s">
        <v>1563</v>
      </c>
      <c r="M212" s="56" t="s">
        <v>129</v>
      </c>
      <c r="N212" s="56"/>
      <c r="O212" s="56"/>
      <c r="P212" s="56"/>
      <c r="Q212" s="56"/>
      <c r="R212" s="56"/>
      <c r="S212" s="56"/>
      <c r="T212" s="56"/>
      <c r="U212" s="56"/>
      <c r="V212" s="56">
        <f t="shared" si="59"/>
        <v>0</v>
      </c>
      <c r="W212" s="56"/>
      <c r="X212" s="56"/>
      <c r="Y212" s="56"/>
      <c r="Z212" s="56"/>
      <c r="AA212" s="56">
        <v>1</v>
      </c>
      <c r="AB212" s="56"/>
      <c r="AC212" s="56"/>
      <c r="AD212" s="56"/>
      <c r="AE212" s="56"/>
      <c r="AF212" s="56">
        <f t="shared" si="48"/>
        <v>1</v>
      </c>
      <c r="AG212" s="56">
        <f t="shared" si="49"/>
        <v>0</v>
      </c>
      <c r="AH212" s="56">
        <f t="shared" si="50"/>
        <v>0</v>
      </c>
      <c r="AI212" s="56">
        <f t="shared" si="51"/>
        <v>0</v>
      </c>
      <c r="AJ212" s="56">
        <f t="shared" si="52"/>
        <v>1</v>
      </c>
      <c r="AK212" s="56">
        <f t="shared" si="53"/>
        <v>0</v>
      </c>
      <c r="AL212" s="56">
        <f t="shared" si="54"/>
        <v>0</v>
      </c>
      <c r="AM212" s="56">
        <f t="shared" si="55"/>
        <v>0</v>
      </c>
      <c r="AN212" s="56">
        <f t="shared" si="56"/>
        <v>0</v>
      </c>
      <c r="AO212" s="58">
        <f t="shared" si="61"/>
        <v>1</v>
      </c>
      <c r="AP212" s="69"/>
      <c r="AQ212" s="40">
        <v>0</v>
      </c>
      <c r="AR212" s="40">
        <v>0</v>
      </c>
      <c r="AS212" s="44">
        <f t="shared" si="62"/>
        <v>0.25</v>
      </c>
      <c r="AT212" s="44">
        <f t="shared" si="62"/>
        <v>0.25</v>
      </c>
      <c r="AU212" s="44">
        <f t="shared" si="62"/>
        <v>0.25</v>
      </c>
      <c r="AV212" s="45">
        <f t="shared" si="62"/>
        <v>0.25</v>
      </c>
      <c r="AW212" s="44"/>
      <c r="AX212" s="44"/>
      <c r="AY212" s="44"/>
      <c r="AZ212" s="44"/>
      <c r="BA212" s="45"/>
      <c r="BB212" s="152">
        <f t="shared" si="58"/>
        <v>1</v>
      </c>
      <c r="BC212" s="43">
        <v>516399</v>
      </c>
      <c r="BD212" s="43">
        <v>171470</v>
      </c>
      <c r="BE212" t="s">
        <v>1405</v>
      </c>
      <c r="BF212"/>
    </row>
    <row r="213" spans="1:66" ht="15" customHeight="1" x14ac:dyDescent="0.25">
      <c r="A213" s="56" t="s">
        <v>379</v>
      </c>
      <c r="B213" s="19" t="s">
        <v>20</v>
      </c>
      <c r="C213" s="56"/>
      <c r="D213" s="34">
        <v>43070</v>
      </c>
      <c r="E213" s="34">
        <v>44166</v>
      </c>
      <c r="F213" s="19"/>
      <c r="G213" s="19"/>
      <c r="H213" s="58" t="s">
        <v>1100</v>
      </c>
      <c r="I213" s="19" t="s">
        <v>1173</v>
      </c>
      <c r="J213" s="19"/>
      <c r="K213" s="56" t="s">
        <v>380</v>
      </c>
      <c r="L213" s="57" t="s">
        <v>381</v>
      </c>
      <c r="M213" s="56" t="s">
        <v>382</v>
      </c>
      <c r="N213" s="56"/>
      <c r="O213" s="56"/>
      <c r="P213" s="56"/>
      <c r="Q213" s="56">
        <v>1</v>
      </c>
      <c r="R213" s="56"/>
      <c r="S213" s="56"/>
      <c r="T213" s="56"/>
      <c r="U213" s="56"/>
      <c r="V213" s="56">
        <f t="shared" si="59"/>
        <v>1</v>
      </c>
      <c r="W213" s="56"/>
      <c r="X213" s="56"/>
      <c r="Y213" s="56"/>
      <c r="Z213" s="56"/>
      <c r="AA213" s="56">
        <v>2</v>
      </c>
      <c r="AB213" s="56"/>
      <c r="AC213" s="56"/>
      <c r="AD213" s="56"/>
      <c r="AE213" s="56"/>
      <c r="AF213" s="56">
        <f t="shared" si="48"/>
        <v>2</v>
      </c>
      <c r="AG213" s="56">
        <f t="shared" si="49"/>
        <v>0</v>
      </c>
      <c r="AH213" s="56">
        <f t="shared" si="50"/>
        <v>0</v>
      </c>
      <c r="AI213" s="56">
        <f t="shared" si="51"/>
        <v>0</v>
      </c>
      <c r="AJ213" s="56">
        <f t="shared" si="52"/>
        <v>1</v>
      </c>
      <c r="AK213" s="56">
        <f t="shared" si="53"/>
        <v>0</v>
      </c>
      <c r="AL213" s="56">
        <f t="shared" si="54"/>
        <v>0</v>
      </c>
      <c r="AM213" s="56">
        <f t="shared" si="55"/>
        <v>0</v>
      </c>
      <c r="AN213" s="56">
        <f t="shared" si="56"/>
        <v>0</v>
      </c>
      <c r="AO213" s="58">
        <f t="shared" si="61"/>
        <v>1</v>
      </c>
      <c r="AP213" s="69"/>
      <c r="AQ213" s="40">
        <v>0</v>
      </c>
      <c r="AR213" s="40">
        <v>0</v>
      </c>
      <c r="AS213" s="44">
        <f t="shared" si="62"/>
        <v>0.25</v>
      </c>
      <c r="AT213" s="44">
        <f t="shared" si="62"/>
        <v>0.25</v>
      </c>
      <c r="AU213" s="44">
        <f t="shared" si="62"/>
        <v>0.25</v>
      </c>
      <c r="AV213" s="45">
        <f t="shared" si="62"/>
        <v>0.25</v>
      </c>
      <c r="AW213" s="44"/>
      <c r="AX213" s="44"/>
      <c r="AY213" s="44"/>
      <c r="AZ213" s="44"/>
      <c r="BA213" s="45"/>
      <c r="BB213" s="152">
        <f t="shared" si="58"/>
        <v>1</v>
      </c>
      <c r="BC213" s="43">
        <v>514058</v>
      </c>
      <c r="BD213" s="43">
        <v>174409</v>
      </c>
      <c r="BE213" t="s">
        <v>1428</v>
      </c>
      <c r="BF213" t="s">
        <v>1410</v>
      </c>
    </row>
    <row r="214" spans="1:66" ht="15" customHeight="1" x14ac:dyDescent="0.25">
      <c r="A214" s="56" t="s">
        <v>387</v>
      </c>
      <c r="B214" s="19" t="s">
        <v>20</v>
      </c>
      <c r="C214" s="56"/>
      <c r="D214" s="34">
        <v>42997</v>
      </c>
      <c r="E214" s="34">
        <v>44339</v>
      </c>
      <c r="F214" s="19"/>
      <c r="G214" s="19"/>
      <c r="H214" s="58" t="s">
        <v>1100</v>
      </c>
      <c r="I214" s="19" t="s">
        <v>1173</v>
      </c>
      <c r="J214" s="19"/>
      <c r="K214" s="56" t="s">
        <v>388</v>
      </c>
      <c r="L214" s="57" t="s">
        <v>1346</v>
      </c>
      <c r="M214" s="56" t="s">
        <v>42</v>
      </c>
      <c r="N214" s="56"/>
      <c r="O214" s="56"/>
      <c r="P214" s="56"/>
      <c r="Q214" s="56"/>
      <c r="R214" s="56"/>
      <c r="S214" s="56"/>
      <c r="T214" s="56"/>
      <c r="U214" s="56"/>
      <c r="V214" s="56">
        <f t="shared" si="59"/>
        <v>0</v>
      </c>
      <c r="W214" s="56"/>
      <c r="X214" s="56"/>
      <c r="Y214" s="56"/>
      <c r="Z214" s="56"/>
      <c r="AA214" s="56">
        <v>1</v>
      </c>
      <c r="AB214" s="56">
        <v>3</v>
      </c>
      <c r="AC214" s="56">
        <v>5</v>
      </c>
      <c r="AD214" s="56"/>
      <c r="AE214" s="56"/>
      <c r="AF214" s="56">
        <f t="shared" si="48"/>
        <v>9</v>
      </c>
      <c r="AG214" s="56">
        <f t="shared" si="49"/>
        <v>0</v>
      </c>
      <c r="AH214" s="56">
        <f t="shared" si="50"/>
        <v>0</v>
      </c>
      <c r="AI214" s="56">
        <f t="shared" si="51"/>
        <v>0</v>
      </c>
      <c r="AJ214" s="56">
        <f t="shared" si="52"/>
        <v>1</v>
      </c>
      <c r="AK214" s="56">
        <f t="shared" si="53"/>
        <v>3</v>
      </c>
      <c r="AL214" s="56">
        <f t="shared" si="54"/>
        <v>5</v>
      </c>
      <c r="AM214" s="56">
        <f t="shared" si="55"/>
        <v>0</v>
      </c>
      <c r="AN214" s="56">
        <f t="shared" si="56"/>
        <v>0</v>
      </c>
      <c r="AO214" s="47">
        <f t="shared" si="61"/>
        <v>9</v>
      </c>
      <c r="AP214" s="69"/>
      <c r="AQ214" s="40">
        <v>0</v>
      </c>
      <c r="AR214" s="40">
        <v>0</v>
      </c>
      <c r="AS214" s="44">
        <f t="shared" si="62"/>
        <v>2.25</v>
      </c>
      <c r="AT214" s="44">
        <f t="shared" si="62"/>
        <v>2.25</v>
      </c>
      <c r="AU214" s="44">
        <f t="shared" si="62"/>
        <v>2.25</v>
      </c>
      <c r="AV214" s="45">
        <f t="shared" si="62"/>
        <v>2.25</v>
      </c>
      <c r="AW214" s="44"/>
      <c r="AX214" s="44"/>
      <c r="AY214" s="44"/>
      <c r="AZ214" s="44"/>
      <c r="BA214" s="45"/>
      <c r="BB214" s="152">
        <f t="shared" si="58"/>
        <v>9</v>
      </c>
      <c r="BC214" s="43">
        <v>515337</v>
      </c>
      <c r="BD214" s="43">
        <v>173383</v>
      </c>
      <c r="BE214" t="s">
        <v>1424</v>
      </c>
      <c r="BF214"/>
    </row>
    <row r="215" spans="1:66" ht="15" customHeight="1" x14ac:dyDescent="0.25">
      <c r="A215" s="56" t="s">
        <v>1341</v>
      </c>
      <c r="B215" s="19" t="s">
        <v>31</v>
      </c>
      <c r="C215" s="56" t="s">
        <v>1203</v>
      </c>
      <c r="D215" s="34">
        <v>42886</v>
      </c>
      <c r="E215" s="34">
        <v>43982</v>
      </c>
      <c r="F215" s="19"/>
      <c r="G215" s="19"/>
      <c r="H215" s="58" t="s">
        <v>1100</v>
      </c>
      <c r="I215" s="19" t="s">
        <v>1173</v>
      </c>
      <c r="J215" s="19"/>
      <c r="K215" s="56" t="s">
        <v>1342</v>
      </c>
      <c r="L215" s="60" t="s">
        <v>1343</v>
      </c>
      <c r="M215" s="56" t="s">
        <v>1344</v>
      </c>
      <c r="N215" s="56"/>
      <c r="O215" s="56"/>
      <c r="P215" s="56"/>
      <c r="Q215" s="56"/>
      <c r="R215" s="56"/>
      <c r="S215" s="56"/>
      <c r="T215" s="56"/>
      <c r="U215" s="56"/>
      <c r="V215" s="56">
        <f t="shared" si="59"/>
        <v>0</v>
      </c>
      <c r="W215" s="56"/>
      <c r="X215" s="56"/>
      <c r="Y215" s="56"/>
      <c r="Z215" s="56"/>
      <c r="AA215" s="56">
        <v>1</v>
      </c>
      <c r="AB215" s="56"/>
      <c r="AC215" s="56"/>
      <c r="AD215" s="56"/>
      <c r="AE215" s="56"/>
      <c r="AF215" s="56">
        <f t="shared" si="48"/>
        <v>1</v>
      </c>
      <c r="AG215" s="56">
        <f t="shared" si="49"/>
        <v>0</v>
      </c>
      <c r="AH215" s="56">
        <f t="shared" si="50"/>
        <v>0</v>
      </c>
      <c r="AI215" s="56">
        <f t="shared" si="51"/>
        <v>0</v>
      </c>
      <c r="AJ215" s="56">
        <f t="shared" si="52"/>
        <v>1</v>
      </c>
      <c r="AK215" s="56">
        <f t="shared" si="53"/>
        <v>0</v>
      </c>
      <c r="AL215" s="56">
        <f t="shared" si="54"/>
        <v>0</v>
      </c>
      <c r="AM215" s="56">
        <f t="shared" si="55"/>
        <v>0</v>
      </c>
      <c r="AN215" s="56">
        <f t="shared" si="56"/>
        <v>0</v>
      </c>
      <c r="AO215" s="38">
        <f t="shared" si="61"/>
        <v>1</v>
      </c>
      <c r="AP215" s="69"/>
      <c r="AQ215" s="40">
        <v>0</v>
      </c>
      <c r="AR215" s="40">
        <f>$AO215/3</f>
        <v>0.33333333333333331</v>
      </c>
      <c r="AS215" s="31">
        <f>$AO215/3</f>
        <v>0.33333333333333331</v>
      </c>
      <c r="AT215" s="31">
        <f>$AO215/3</f>
        <v>0.33333333333333331</v>
      </c>
      <c r="AU215" s="31">
        <v>0</v>
      </c>
      <c r="AV215" s="39">
        <v>0</v>
      </c>
      <c r="AW215" s="31"/>
      <c r="AX215" s="31"/>
      <c r="AY215" s="31"/>
      <c r="AZ215" s="31"/>
      <c r="BA215" s="39"/>
      <c r="BB215" s="152">
        <f t="shared" si="58"/>
        <v>1</v>
      </c>
      <c r="BC215" s="43">
        <v>516024</v>
      </c>
      <c r="BD215" s="43">
        <v>173277</v>
      </c>
      <c r="BE215" t="s">
        <v>1426</v>
      </c>
      <c r="BF215"/>
    </row>
    <row r="216" spans="1:66" ht="15" customHeight="1" x14ac:dyDescent="0.25">
      <c r="A216" s="56" t="s">
        <v>400</v>
      </c>
      <c r="B216" s="19" t="s">
        <v>20</v>
      </c>
      <c r="C216" s="56"/>
      <c r="D216" s="34">
        <v>43419</v>
      </c>
      <c r="E216" s="34">
        <v>44695</v>
      </c>
      <c r="F216" s="19"/>
      <c r="G216" s="19"/>
      <c r="H216" s="58" t="s">
        <v>1100</v>
      </c>
      <c r="I216" s="19" t="s">
        <v>1173</v>
      </c>
      <c r="J216" s="19"/>
      <c r="K216" s="56" t="s">
        <v>401</v>
      </c>
      <c r="L216" s="57" t="s">
        <v>402</v>
      </c>
      <c r="M216" s="56" t="s">
        <v>403</v>
      </c>
      <c r="N216" s="56"/>
      <c r="O216" s="56"/>
      <c r="P216" s="56"/>
      <c r="Q216" s="56"/>
      <c r="R216" s="56"/>
      <c r="S216" s="56"/>
      <c r="T216" s="56"/>
      <c r="U216" s="56"/>
      <c r="V216" s="56">
        <f t="shared" si="59"/>
        <v>0</v>
      </c>
      <c r="W216" s="56"/>
      <c r="X216" s="56">
        <v>1</v>
      </c>
      <c r="Y216" s="56"/>
      <c r="Z216" s="56"/>
      <c r="AA216" s="56"/>
      <c r="AB216" s="56"/>
      <c r="AC216" s="56"/>
      <c r="AD216" s="56"/>
      <c r="AE216" s="56"/>
      <c r="AF216" s="56">
        <f t="shared" si="48"/>
        <v>1</v>
      </c>
      <c r="AG216" s="56">
        <f t="shared" si="49"/>
        <v>1</v>
      </c>
      <c r="AH216" s="56">
        <f t="shared" si="50"/>
        <v>0</v>
      </c>
      <c r="AI216" s="56">
        <f t="shared" si="51"/>
        <v>0</v>
      </c>
      <c r="AJ216" s="56">
        <f t="shared" si="52"/>
        <v>0</v>
      </c>
      <c r="AK216" s="56">
        <f t="shared" si="53"/>
        <v>0</v>
      </c>
      <c r="AL216" s="56">
        <f t="shared" si="54"/>
        <v>0</v>
      </c>
      <c r="AM216" s="56">
        <f t="shared" si="55"/>
        <v>0</v>
      </c>
      <c r="AN216" s="56">
        <f t="shared" si="56"/>
        <v>0</v>
      </c>
      <c r="AO216" s="58">
        <f t="shared" si="61"/>
        <v>1</v>
      </c>
      <c r="AP216" s="69"/>
      <c r="AQ216" s="40">
        <v>0</v>
      </c>
      <c r="AR216" s="40">
        <v>0</v>
      </c>
      <c r="AS216" s="44">
        <f t="shared" ref="AS216:AV217" si="63">$AO216/4</f>
        <v>0.25</v>
      </c>
      <c r="AT216" s="44">
        <f t="shared" si="63"/>
        <v>0.25</v>
      </c>
      <c r="AU216" s="44">
        <f t="shared" si="63"/>
        <v>0.25</v>
      </c>
      <c r="AV216" s="45">
        <f t="shared" si="63"/>
        <v>0.25</v>
      </c>
      <c r="AW216" s="44"/>
      <c r="AX216" s="44"/>
      <c r="AY216" s="44"/>
      <c r="AZ216" s="44"/>
      <c r="BA216" s="45"/>
      <c r="BB216" s="152">
        <f t="shared" si="58"/>
        <v>1</v>
      </c>
      <c r="BC216" s="43">
        <v>516598</v>
      </c>
      <c r="BD216" s="43">
        <v>174330</v>
      </c>
      <c r="BE216" t="s">
        <v>1488</v>
      </c>
      <c r="BF216"/>
    </row>
    <row r="217" spans="1:66" ht="15" customHeight="1" x14ac:dyDescent="0.25">
      <c r="A217" s="56" t="s">
        <v>408</v>
      </c>
      <c r="B217" s="19" t="s">
        <v>20</v>
      </c>
      <c r="C217" s="56"/>
      <c r="D217" s="34">
        <v>43290</v>
      </c>
      <c r="E217" s="34">
        <v>44386</v>
      </c>
      <c r="F217" s="19"/>
      <c r="G217" s="19"/>
      <c r="H217" s="58" t="s">
        <v>1100</v>
      </c>
      <c r="I217" s="19" t="s">
        <v>1173</v>
      </c>
      <c r="J217" s="19"/>
      <c r="K217" s="56" t="s">
        <v>409</v>
      </c>
      <c r="L217" s="57" t="s">
        <v>410</v>
      </c>
      <c r="M217" s="56" t="s">
        <v>411</v>
      </c>
      <c r="N217" s="56"/>
      <c r="O217" s="56"/>
      <c r="P217" s="56">
        <v>1</v>
      </c>
      <c r="Q217" s="56"/>
      <c r="R217" s="56"/>
      <c r="S217" s="56"/>
      <c r="T217" s="56"/>
      <c r="U217" s="56"/>
      <c r="V217" s="56">
        <f t="shared" si="59"/>
        <v>1</v>
      </c>
      <c r="W217" s="56"/>
      <c r="X217" s="56">
        <v>6</v>
      </c>
      <c r="Y217" s="56">
        <v>3</v>
      </c>
      <c r="Z217" s="56"/>
      <c r="AA217" s="56"/>
      <c r="AB217" s="56"/>
      <c r="AC217" s="56"/>
      <c r="AD217" s="56"/>
      <c r="AE217" s="56"/>
      <c r="AF217" s="56">
        <f t="shared" si="48"/>
        <v>9</v>
      </c>
      <c r="AG217" s="56">
        <f t="shared" si="49"/>
        <v>6</v>
      </c>
      <c r="AH217" s="56">
        <f t="shared" si="50"/>
        <v>3</v>
      </c>
      <c r="AI217" s="56">
        <f t="shared" si="51"/>
        <v>-1</v>
      </c>
      <c r="AJ217" s="56">
        <f t="shared" si="52"/>
        <v>0</v>
      </c>
      <c r="AK217" s="56">
        <f t="shared" si="53"/>
        <v>0</v>
      </c>
      <c r="AL217" s="56">
        <f t="shared" si="54"/>
        <v>0</v>
      </c>
      <c r="AM217" s="56">
        <f t="shared" si="55"/>
        <v>0</v>
      </c>
      <c r="AN217" s="56">
        <f t="shared" si="56"/>
        <v>0</v>
      </c>
      <c r="AO217" s="58">
        <f t="shared" si="61"/>
        <v>8</v>
      </c>
      <c r="AP217" s="69"/>
      <c r="AQ217" s="40">
        <v>0</v>
      </c>
      <c r="AR217" s="40">
        <v>0</v>
      </c>
      <c r="AS217" s="31">
        <f t="shared" si="63"/>
        <v>2</v>
      </c>
      <c r="AT217" s="31">
        <f t="shared" si="63"/>
        <v>2</v>
      </c>
      <c r="AU217" s="31">
        <f t="shared" si="63"/>
        <v>2</v>
      </c>
      <c r="AV217" s="39">
        <f t="shared" si="63"/>
        <v>2</v>
      </c>
      <c r="AW217" s="31"/>
      <c r="AX217" s="31"/>
      <c r="AY217" s="31"/>
      <c r="AZ217" s="31"/>
      <c r="BA217" s="39"/>
      <c r="BB217" s="152">
        <f t="shared" si="58"/>
        <v>8</v>
      </c>
      <c r="BC217" s="43">
        <v>517393</v>
      </c>
      <c r="BD217" s="43">
        <v>169491</v>
      </c>
      <c r="BE217" t="s">
        <v>1418</v>
      </c>
      <c r="BF217"/>
      <c r="BM217" t="s">
        <v>1545</v>
      </c>
      <c r="BN217" t="s">
        <v>1522</v>
      </c>
    </row>
    <row r="218" spans="1:66" ht="15" customHeight="1" x14ac:dyDescent="0.25">
      <c r="A218" s="56" t="s">
        <v>416</v>
      </c>
      <c r="B218" s="19" t="s">
        <v>20</v>
      </c>
      <c r="C218" s="56"/>
      <c r="D218" s="34">
        <v>43479</v>
      </c>
      <c r="E218" s="34">
        <v>44575</v>
      </c>
      <c r="F218" s="19"/>
      <c r="G218" s="19"/>
      <c r="H218" s="58" t="s">
        <v>1100</v>
      </c>
      <c r="I218" s="19" t="s">
        <v>1173</v>
      </c>
      <c r="J218" s="19"/>
      <c r="K218" s="56" t="s">
        <v>417</v>
      </c>
      <c r="L218" s="57" t="s">
        <v>418</v>
      </c>
      <c r="M218" s="56" t="s">
        <v>419</v>
      </c>
      <c r="N218" s="56"/>
      <c r="O218" s="56">
        <v>1</v>
      </c>
      <c r="P218" s="56"/>
      <c r="Q218" s="56"/>
      <c r="R218" s="56"/>
      <c r="S218" s="56"/>
      <c r="T218" s="56"/>
      <c r="U218" s="56"/>
      <c r="V218" s="56">
        <f t="shared" si="59"/>
        <v>1</v>
      </c>
      <c r="W218" s="56"/>
      <c r="X218" s="56"/>
      <c r="Y218" s="56"/>
      <c r="Z218" s="56"/>
      <c r="AA218" s="56"/>
      <c r="AB218" s="56">
        <v>1</v>
      </c>
      <c r="AC218" s="56"/>
      <c r="AD218" s="56"/>
      <c r="AE218" s="56"/>
      <c r="AF218" s="56">
        <f t="shared" si="48"/>
        <v>1</v>
      </c>
      <c r="AG218" s="56">
        <f t="shared" si="49"/>
        <v>0</v>
      </c>
      <c r="AH218" s="56">
        <f t="shared" si="50"/>
        <v>-1</v>
      </c>
      <c r="AI218" s="56">
        <f t="shared" si="51"/>
        <v>0</v>
      </c>
      <c r="AJ218" s="56">
        <f t="shared" si="52"/>
        <v>0</v>
      </c>
      <c r="AK218" s="56">
        <f t="shared" si="53"/>
        <v>1</v>
      </c>
      <c r="AL218" s="56">
        <f t="shared" si="54"/>
        <v>0</v>
      </c>
      <c r="AM218" s="56">
        <f t="shared" si="55"/>
        <v>0</v>
      </c>
      <c r="AN218" s="56">
        <f t="shared" si="56"/>
        <v>0</v>
      </c>
      <c r="AO218" s="58">
        <f t="shared" si="61"/>
        <v>0</v>
      </c>
      <c r="AP218" s="69"/>
      <c r="AQ218" s="40">
        <v>0</v>
      </c>
      <c r="AR218" s="40">
        <v>0</v>
      </c>
      <c r="AS218" s="31">
        <v>0</v>
      </c>
      <c r="AT218" s="31">
        <v>0</v>
      </c>
      <c r="AU218" s="31">
        <v>0</v>
      </c>
      <c r="AV218" s="39">
        <v>0</v>
      </c>
      <c r="AW218" s="31"/>
      <c r="AX218" s="31"/>
      <c r="AY218" s="31"/>
      <c r="AZ218" s="31"/>
      <c r="BA218" s="39"/>
      <c r="BB218" s="152">
        <f t="shared" si="58"/>
        <v>0</v>
      </c>
      <c r="BC218" s="43">
        <v>516874</v>
      </c>
      <c r="BD218" s="43">
        <v>170756</v>
      </c>
      <c r="BE218" t="s">
        <v>1418</v>
      </c>
      <c r="BF218"/>
    </row>
    <row r="219" spans="1:66" ht="15" customHeight="1" x14ac:dyDescent="0.25">
      <c r="A219" s="56" t="s">
        <v>428</v>
      </c>
      <c r="B219" s="19" t="s">
        <v>20</v>
      </c>
      <c r="C219" s="56"/>
      <c r="D219" s="34">
        <v>43216</v>
      </c>
      <c r="E219" s="34">
        <v>44312</v>
      </c>
      <c r="F219" s="19"/>
      <c r="G219" s="19"/>
      <c r="H219" s="58" t="s">
        <v>1100</v>
      </c>
      <c r="I219" s="19" t="s">
        <v>1173</v>
      </c>
      <c r="J219" s="19"/>
      <c r="K219" s="56" t="s">
        <v>429</v>
      </c>
      <c r="L219" s="57" t="s">
        <v>430</v>
      </c>
      <c r="M219" s="56" t="s">
        <v>431</v>
      </c>
      <c r="N219" s="56"/>
      <c r="O219" s="56"/>
      <c r="P219" s="56"/>
      <c r="Q219" s="56">
        <v>1</v>
      </c>
      <c r="R219" s="56"/>
      <c r="S219" s="56"/>
      <c r="T219" s="56"/>
      <c r="U219" s="56"/>
      <c r="V219" s="56">
        <f t="shared" si="59"/>
        <v>1</v>
      </c>
      <c r="W219" s="56"/>
      <c r="X219" s="56"/>
      <c r="Y219" s="56"/>
      <c r="Z219" s="56"/>
      <c r="AA219" s="56"/>
      <c r="AB219" s="56">
        <v>1</v>
      </c>
      <c r="AC219" s="56"/>
      <c r="AD219" s="56"/>
      <c r="AE219" s="56"/>
      <c r="AF219" s="56">
        <f t="shared" si="48"/>
        <v>1</v>
      </c>
      <c r="AG219" s="56">
        <f t="shared" si="49"/>
        <v>0</v>
      </c>
      <c r="AH219" s="56">
        <f t="shared" si="50"/>
        <v>0</v>
      </c>
      <c r="AI219" s="56">
        <f t="shared" si="51"/>
        <v>0</v>
      </c>
      <c r="AJ219" s="56">
        <f t="shared" si="52"/>
        <v>-1</v>
      </c>
      <c r="AK219" s="56">
        <f t="shared" si="53"/>
        <v>1</v>
      </c>
      <c r="AL219" s="56">
        <f t="shared" si="54"/>
        <v>0</v>
      </c>
      <c r="AM219" s="56">
        <f t="shared" si="55"/>
        <v>0</v>
      </c>
      <c r="AN219" s="56">
        <f t="shared" si="56"/>
        <v>0</v>
      </c>
      <c r="AO219" s="58">
        <f t="shared" si="61"/>
        <v>0</v>
      </c>
      <c r="AP219" s="69"/>
      <c r="AQ219" s="40">
        <v>0</v>
      </c>
      <c r="AR219" s="40">
        <v>0</v>
      </c>
      <c r="AS219" s="31">
        <v>0</v>
      </c>
      <c r="AT219" s="31">
        <v>0</v>
      </c>
      <c r="AU219" s="31">
        <v>0</v>
      </c>
      <c r="AV219" s="39">
        <v>0</v>
      </c>
      <c r="AW219" s="31"/>
      <c r="AX219" s="31"/>
      <c r="AY219" s="31"/>
      <c r="AZ219" s="31"/>
      <c r="BA219" s="39"/>
      <c r="BB219" s="152">
        <f t="shared" si="58"/>
        <v>0</v>
      </c>
      <c r="BC219" s="43">
        <v>512725</v>
      </c>
      <c r="BD219" s="43">
        <v>170606</v>
      </c>
      <c r="BE219" t="s">
        <v>1416</v>
      </c>
      <c r="BF219"/>
    </row>
    <row r="220" spans="1:66" ht="15" customHeight="1" x14ac:dyDescent="0.25">
      <c r="A220" s="56" t="s">
        <v>1350</v>
      </c>
      <c r="B220" s="19" t="s">
        <v>31</v>
      </c>
      <c r="C220" s="56" t="s">
        <v>1203</v>
      </c>
      <c r="D220" s="34">
        <v>42956</v>
      </c>
      <c r="E220" s="34">
        <v>44052</v>
      </c>
      <c r="F220" s="34">
        <v>43983</v>
      </c>
      <c r="G220" s="19"/>
      <c r="H220" s="58" t="s">
        <v>1100</v>
      </c>
      <c r="I220" s="19" t="s">
        <v>1173</v>
      </c>
      <c r="J220" s="19"/>
      <c r="K220" s="56" t="s">
        <v>1351</v>
      </c>
      <c r="L220" s="57" t="s">
        <v>1352</v>
      </c>
      <c r="M220" s="56" t="s">
        <v>1353</v>
      </c>
      <c r="N220" s="56"/>
      <c r="O220" s="56"/>
      <c r="P220" s="56"/>
      <c r="Q220" s="56"/>
      <c r="R220" s="56"/>
      <c r="S220" s="56"/>
      <c r="T220" s="56"/>
      <c r="U220" s="56"/>
      <c r="V220" s="56">
        <f t="shared" si="59"/>
        <v>0</v>
      </c>
      <c r="W220" s="56"/>
      <c r="X220" s="56">
        <v>5</v>
      </c>
      <c r="Y220" s="56"/>
      <c r="Z220" s="56"/>
      <c r="AA220" s="56"/>
      <c r="AB220" s="56"/>
      <c r="AC220" s="56"/>
      <c r="AD220" s="56"/>
      <c r="AE220" s="56"/>
      <c r="AF220" s="56">
        <f t="shared" si="48"/>
        <v>5</v>
      </c>
      <c r="AG220" s="56">
        <f t="shared" si="49"/>
        <v>5</v>
      </c>
      <c r="AH220" s="56">
        <f t="shared" si="50"/>
        <v>0</v>
      </c>
      <c r="AI220" s="56">
        <f t="shared" si="51"/>
        <v>0</v>
      </c>
      <c r="AJ220" s="56">
        <f t="shared" si="52"/>
        <v>0</v>
      </c>
      <c r="AK220" s="56">
        <f t="shared" si="53"/>
        <v>0</v>
      </c>
      <c r="AL220" s="56">
        <f t="shared" si="54"/>
        <v>0</v>
      </c>
      <c r="AM220" s="56">
        <f t="shared" si="55"/>
        <v>0</v>
      </c>
      <c r="AN220" s="56">
        <f t="shared" si="56"/>
        <v>0</v>
      </c>
      <c r="AO220" s="58">
        <f t="shared" si="61"/>
        <v>5</v>
      </c>
      <c r="AP220" s="69"/>
      <c r="AQ220" s="40">
        <v>0</v>
      </c>
      <c r="AR220" s="40">
        <v>5</v>
      </c>
      <c r="AS220" s="31">
        <v>0</v>
      </c>
      <c r="AT220" s="31">
        <v>0</v>
      </c>
      <c r="AU220" s="44">
        <v>0</v>
      </c>
      <c r="AV220" s="45">
        <v>0</v>
      </c>
      <c r="AW220" s="44"/>
      <c r="AX220" s="44"/>
      <c r="AY220" s="44"/>
      <c r="AZ220" s="44"/>
      <c r="BA220" s="45"/>
      <c r="BB220" s="152">
        <f t="shared" si="58"/>
        <v>5</v>
      </c>
      <c r="BC220" s="43">
        <v>519113</v>
      </c>
      <c r="BD220" s="43">
        <v>176411</v>
      </c>
      <c r="BE220" t="s">
        <v>1420</v>
      </c>
      <c r="BF220"/>
      <c r="BM220" t="s">
        <v>1545</v>
      </c>
      <c r="BN220" t="s">
        <v>1510</v>
      </c>
    </row>
    <row r="221" spans="1:66" ht="15" customHeight="1" x14ac:dyDescent="0.25">
      <c r="A221" s="56" t="s">
        <v>440</v>
      </c>
      <c r="B221" s="19" t="s">
        <v>38</v>
      </c>
      <c r="C221" s="56"/>
      <c r="D221" s="34">
        <v>43005</v>
      </c>
      <c r="E221" s="34">
        <v>44101</v>
      </c>
      <c r="F221" s="19"/>
      <c r="G221" s="19"/>
      <c r="H221" s="58" t="s">
        <v>1100</v>
      </c>
      <c r="I221" s="19" t="s">
        <v>1173</v>
      </c>
      <c r="J221" s="19"/>
      <c r="K221" s="56" t="s">
        <v>441</v>
      </c>
      <c r="L221" s="57" t="s">
        <v>442</v>
      </c>
      <c r="M221" s="56" t="s">
        <v>443</v>
      </c>
      <c r="N221" s="56">
        <v>2</v>
      </c>
      <c r="O221" s="56"/>
      <c r="P221" s="56"/>
      <c r="Q221" s="56"/>
      <c r="R221" s="56"/>
      <c r="S221" s="56"/>
      <c r="T221" s="56"/>
      <c r="U221" s="56"/>
      <c r="V221" s="56">
        <f t="shared" si="59"/>
        <v>2</v>
      </c>
      <c r="W221" s="56"/>
      <c r="X221" s="56"/>
      <c r="Y221" s="56"/>
      <c r="Z221" s="56">
        <v>1</v>
      </c>
      <c r="AA221" s="56"/>
      <c r="AB221" s="56"/>
      <c r="AC221" s="56"/>
      <c r="AD221" s="56"/>
      <c r="AE221" s="56"/>
      <c r="AF221" s="56">
        <f t="shared" si="48"/>
        <v>1</v>
      </c>
      <c r="AG221" s="56">
        <f t="shared" si="49"/>
        <v>-2</v>
      </c>
      <c r="AH221" s="56">
        <f t="shared" si="50"/>
        <v>0</v>
      </c>
      <c r="AI221" s="56">
        <f t="shared" si="51"/>
        <v>1</v>
      </c>
      <c r="AJ221" s="56">
        <f t="shared" si="52"/>
        <v>0</v>
      </c>
      <c r="AK221" s="56">
        <f t="shared" si="53"/>
        <v>0</v>
      </c>
      <c r="AL221" s="56">
        <f t="shared" si="54"/>
        <v>0</v>
      </c>
      <c r="AM221" s="56">
        <f t="shared" si="55"/>
        <v>0</v>
      </c>
      <c r="AN221" s="56">
        <f t="shared" si="56"/>
        <v>0</v>
      </c>
      <c r="AO221" s="58">
        <f t="shared" si="61"/>
        <v>-1</v>
      </c>
      <c r="AP221" s="69"/>
      <c r="AQ221" s="40">
        <v>0</v>
      </c>
      <c r="AR221" s="40">
        <v>0</v>
      </c>
      <c r="AS221" s="44">
        <f t="shared" ref="AS221:AV222" si="64">$AO221/4</f>
        <v>-0.25</v>
      </c>
      <c r="AT221" s="44">
        <f t="shared" si="64"/>
        <v>-0.25</v>
      </c>
      <c r="AU221" s="44">
        <f t="shared" si="64"/>
        <v>-0.25</v>
      </c>
      <c r="AV221" s="45">
        <f t="shared" si="64"/>
        <v>-0.25</v>
      </c>
      <c r="AW221" s="44"/>
      <c r="AX221" s="44"/>
      <c r="AY221" s="44"/>
      <c r="AZ221" s="44"/>
      <c r="BA221" s="45"/>
      <c r="BB221" s="152">
        <f t="shared" si="58"/>
        <v>-1</v>
      </c>
      <c r="BC221" s="43">
        <v>520088</v>
      </c>
      <c r="BD221" s="43">
        <v>175029</v>
      </c>
      <c r="BE221" t="s">
        <v>1402</v>
      </c>
      <c r="BF221"/>
    </row>
    <row r="222" spans="1:66" ht="15" customHeight="1" x14ac:dyDescent="0.25">
      <c r="A222" s="56" t="s">
        <v>444</v>
      </c>
      <c r="B222" s="19" t="s">
        <v>31</v>
      </c>
      <c r="C222" s="56" t="s">
        <v>1203</v>
      </c>
      <c r="D222" s="34">
        <v>42977</v>
      </c>
      <c r="E222" s="34">
        <v>44073</v>
      </c>
      <c r="F222" s="19"/>
      <c r="G222" s="19"/>
      <c r="H222" s="38" t="s">
        <v>1100</v>
      </c>
      <c r="I222" s="19" t="s">
        <v>1173</v>
      </c>
      <c r="J222" s="19"/>
      <c r="K222" s="56" t="s">
        <v>445</v>
      </c>
      <c r="L222" s="57" t="s">
        <v>446</v>
      </c>
      <c r="M222" s="56" t="s">
        <v>447</v>
      </c>
      <c r="N222" s="56"/>
      <c r="O222" s="56"/>
      <c r="P222" s="56"/>
      <c r="Q222" s="56"/>
      <c r="R222" s="56"/>
      <c r="S222" s="56"/>
      <c r="T222" s="56"/>
      <c r="U222" s="56"/>
      <c r="V222" s="56">
        <f t="shared" si="59"/>
        <v>0</v>
      </c>
      <c r="W222" s="56"/>
      <c r="X222" s="56"/>
      <c r="Y222" s="56">
        <v>3</v>
      </c>
      <c r="Z222" s="56"/>
      <c r="AA222" s="56"/>
      <c r="AB222" s="56"/>
      <c r="AC222" s="56"/>
      <c r="AD222" s="56"/>
      <c r="AE222" s="56"/>
      <c r="AF222" s="56">
        <f t="shared" si="48"/>
        <v>3</v>
      </c>
      <c r="AG222" s="56">
        <f t="shared" si="49"/>
        <v>0</v>
      </c>
      <c r="AH222" s="56">
        <f t="shared" si="50"/>
        <v>3</v>
      </c>
      <c r="AI222" s="56">
        <f t="shared" si="51"/>
        <v>0</v>
      </c>
      <c r="AJ222" s="56">
        <f t="shared" si="52"/>
        <v>0</v>
      </c>
      <c r="AK222" s="56">
        <f t="shared" si="53"/>
        <v>0</v>
      </c>
      <c r="AL222" s="56">
        <f t="shared" si="54"/>
        <v>0</v>
      </c>
      <c r="AM222" s="56">
        <f t="shared" si="55"/>
        <v>0</v>
      </c>
      <c r="AN222" s="56">
        <f t="shared" si="56"/>
        <v>0</v>
      </c>
      <c r="AO222" s="58">
        <f t="shared" si="61"/>
        <v>3</v>
      </c>
      <c r="AP222" s="69"/>
      <c r="AQ222" s="40">
        <v>0</v>
      </c>
      <c r="AR222" s="40">
        <v>0</v>
      </c>
      <c r="AS222" s="251">
        <f t="shared" si="64"/>
        <v>0.75</v>
      </c>
      <c r="AT222" s="44">
        <f t="shared" si="64"/>
        <v>0.75</v>
      </c>
      <c r="AU222" s="44">
        <f t="shared" si="64"/>
        <v>0.75</v>
      </c>
      <c r="AV222" s="45">
        <f t="shared" si="64"/>
        <v>0.75</v>
      </c>
      <c r="AW222" s="44"/>
      <c r="AX222" s="44"/>
      <c r="AY222" s="44"/>
      <c r="AZ222" s="44"/>
      <c r="BA222" s="45"/>
      <c r="BB222" s="152">
        <f t="shared" si="58"/>
        <v>3</v>
      </c>
      <c r="BC222" s="43">
        <v>520541</v>
      </c>
      <c r="BD222" s="43">
        <v>175760</v>
      </c>
      <c r="BE222" t="s">
        <v>1402</v>
      </c>
      <c r="BF222"/>
      <c r="BG222" t="s">
        <v>1402</v>
      </c>
    </row>
    <row r="223" spans="1:66" ht="15" customHeight="1" x14ac:dyDescent="0.25">
      <c r="A223" s="56" t="s">
        <v>448</v>
      </c>
      <c r="B223" s="19" t="s">
        <v>20</v>
      </c>
      <c r="C223" s="56"/>
      <c r="D223" s="34">
        <v>43080</v>
      </c>
      <c r="E223" s="34">
        <v>44269</v>
      </c>
      <c r="F223" s="37">
        <v>43983</v>
      </c>
      <c r="G223" s="19"/>
      <c r="H223" s="38" t="s">
        <v>1100</v>
      </c>
      <c r="I223" s="19" t="s">
        <v>1173</v>
      </c>
      <c r="J223" s="19"/>
      <c r="K223" s="56" t="s">
        <v>449</v>
      </c>
      <c r="L223" s="57" t="s">
        <v>450</v>
      </c>
      <c r="M223" s="56" t="s">
        <v>451</v>
      </c>
      <c r="N223" s="56"/>
      <c r="O223" s="56"/>
      <c r="P223" s="56"/>
      <c r="Q223" s="56">
        <v>1</v>
      </c>
      <c r="R223" s="56"/>
      <c r="S223" s="56"/>
      <c r="T223" s="56"/>
      <c r="U223" s="56"/>
      <c r="V223" s="56">
        <f t="shared" si="59"/>
        <v>1</v>
      </c>
      <c r="W223" s="56"/>
      <c r="X223" s="56"/>
      <c r="Y223" s="56"/>
      <c r="Z223" s="56"/>
      <c r="AA223" s="56">
        <v>2</v>
      </c>
      <c r="AB223" s="56">
        <v>1</v>
      </c>
      <c r="AC223" s="56"/>
      <c r="AD223" s="56"/>
      <c r="AE223" s="56"/>
      <c r="AF223" s="56">
        <f t="shared" si="48"/>
        <v>3</v>
      </c>
      <c r="AG223" s="56">
        <f t="shared" si="49"/>
        <v>0</v>
      </c>
      <c r="AH223" s="56">
        <f t="shared" si="50"/>
        <v>0</v>
      </c>
      <c r="AI223" s="56">
        <f t="shared" si="51"/>
        <v>0</v>
      </c>
      <c r="AJ223" s="56">
        <f t="shared" si="52"/>
        <v>1</v>
      </c>
      <c r="AK223" s="56">
        <f t="shared" si="53"/>
        <v>1</v>
      </c>
      <c r="AL223" s="56">
        <f t="shared" si="54"/>
        <v>0</v>
      </c>
      <c r="AM223" s="56">
        <f t="shared" si="55"/>
        <v>0</v>
      </c>
      <c r="AN223" s="56">
        <f t="shared" si="56"/>
        <v>0</v>
      </c>
      <c r="AO223" s="58">
        <f t="shared" si="61"/>
        <v>2</v>
      </c>
      <c r="AP223" s="69"/>
      <c r="AQ223" s="40">
        <v>0</v>
      </c>
      <c r="AR223" s="40">
        <f>$AO223/2</f>
        <v>1</v>
      </c>
      <c r="AS223" s="31">
        <f>$AO223/2</f>
        <v>1</v>
      </c>
      <c r="AT223" s="31">
        <v>0</v>
      </c>
      <c r="AU223" s="31">
        <v>0</v>
      </c>
      <c r="AV223" s="39">
        <v>0</v>
      </c>
      <c r="AW223" s="31"/>
      <c r="AX223" s="31"/>
      <c r="AY223" s="31"/>
      <c r="AZ223" s="31"/>
      <c r="BA223" s="39"/>
      <c r="BB223" s="152">
        <f t="shared" si="58"/>
        <v>2</v>
      </c>
      <c r="BC223" s="43">
        <v>514169</v>
      </c>
      <c r="BD223" s="43">
        <v>170167</v>
      </c>
      <c r="BE223" t="s">
        <v>1417</v>
      </c>
      <c r="BF223" t="s">
        <v>1410</v>
      </c>
    </row>
    <row r="224" spans="1:66" ht="15" customHeight="1" x14ac:dyDescent="0.25">
      <c r="A224" s="56" t="s">
        <v>452</v>
      </c>
      <c r="B224" s="19" t="s">
        <v>31</v>
      </c>
      <c r="C224" s="56" t="s">
        <v>1203</v>
      </c>
      <c r="D224" s="34">
        <v>42986</v>
      </c>
      <c r="E224" s="34">
        <v>44082</v>
      </c>
      <c r="F224" s="19"/>
      <c r="G224" s="19"/>
      <c r="H224" s="38" t="s">
        <v>1100</v>
      </c>
      <c r="I224" s="19" t="s">
        <v>1173</v>
      </c>
      <c r="J224" s="19"/>
      <c r="K224" s="56" t="s">
        <v>453</v>
      </c>
      <c r="L224" s="57" t="s">
        <v>454</v>
      </c>
      <c r="M224" s="56" t="s">
        <v>455</v>
      </c>
      <c r="N224" s="56"/>
      <c r="O224" s="56"/>
      <c r="P224" s="56"/>
      <c r="Q224" s="56"/>
      <c r="R224" s="56"/>
      <c r="S224" s="56"/>
      <c r="T224" s="56"/>
      <c r="U224" s="56"/>
      <c r="V224" s="56">
        <f t="shared" si="59"/>
        <v>0</v>
      </c>
      <c r="W224" s="56"/>
      <c r="X224" s="56">
        <v>1</v>
      </c>
      <c r="Y224" s="56"/>
      <c r="Z224" s="56"/>
      <c r="AA224" s="56"/>
      <c r="AB224" s="56"/>
      <c r="AC224" s="56"/>
      <c r="AD224" s="56"/>
      <c r="AE224" s="56"/>
      <c r="AF224" s="56">
        <f t="shared" si="48"/>
        <v>1</v>
      </c>
      <c r="AG224" s="56">
        <f t="shared" si="49"/>
        <v>1</v>
      </c>
      <c r="AH224" s="56">
        <f t="shared" si="50"/>
        <v>0</v>
      </c>
      <c r="AI224" s="56">
        <f t="shared" si="51"/>
        <v>0</v>
      </c>
      <c r="AJ224" s="56">
        <f t="shared" si="52"/>
        <v>0</v>
      </c>
      <c r="AK224" s="56">
        <f t="shared" si="53"/>
        <v>0</v>
      </c>
      <c r="AL224" s="56">
        <f t="shared" si="54"/>
        <v>0</v>
      </c>
      <c r="AM224" s="56">
        <f t="shared" si="55"/>
        <v>0</v>
      </c>
      <c r="AN224" s="56">
        <f t="shared" si="56"/>
        <v>0</v>
      </c>
      <c r="AO224" s="58">
        <f t="shared" si="61"/>
        <v>1</v>
      </c>
      <c r="AP224" s="69"/>
      <c r="AQ224" s="40">
        <v>0</v>
      </c>
      <c r="AR224" s="40">
        <v>0</v>
      </c>
      <c r="AS224" s="44">
        <f t="shared" ref="AS224:AV226" si="65">$AO224/4</f>
        <v>0.25</v>
      </c>
      <c r="AT224" s="44">
        <f t="shared" si="65"/>
        <v>0.25</v>
      </c>
      <c r="AU224" s="44">
        <f t="shared" si="65"/>
        <v>0.25</v>
      </c>
      <c r="AV224" s="45">
        <f t="shared" si="65"/>
        <v>0.25</v>
      </c>
      <c r="AW224" s="44"/>
      <c r="AX224" s="44"/>
      <c r="AY224" s="44"/>
      <c r="AZ224" s="44"/>
      <c r="BA224" s="45"/>
      <c r="BB224" s="152">
        <f t="shared" si="58"/>
        <v>1</v>
      </c>
      <c r="BC224" s="43">
        <v>520531</v>
      </c>
      <c r="BD224" s="43">
        <v>175416</v>
      </c>
      <c r="BE224" t="s">
        <v>1402</v>
      </c>
      <c r="BF224"/>
      <c r="BG224" t="s">
        <v>1402</v>
      </c>
      <c r="BM224" t="s">
        <v>1545</v>
      </c>
      <c r="BN224" t="s">
        <v>1495</v>
      </c>
    </row>
    <row r="225" spans="1:66" ht="15" customHeight="1" x14ac:dyDescent="0.25">
      <c r="A225" s="56" t="s">
        <v>1347</v>
      </c>
      <c r="B225" s="19" t="s">
        <v>20</v>
      </c>
      <c r="C225" s="56"/>
      <c r="D225" s="34">
        <v>43615</v>
      </c>
      <c r="E225" s="34">
        <v>44701</v>
      </c>
      <c r="F225" s="34"/>
      <c r="G225" s="19"/>
      <c r="H225" s="36" t="s">
        <v>1100</v>
      </c>
      <c r="I225" s="19" t="s">
        <v>1173</v>
      </c>
      <c r="J225" s="19"/>
      <c r="K225" s="56" t="s">
        <v>1348</v>
      </c>
      <c r="L225" s="57" t="s">
        <v>1349</v>
      </c>
      <c r="M225" s="56" t="s">
        <v>633</v>
      </c>
      <c r="N225" s="56"/>
      <c r="O225" s="56"/>
      <c r="P225" s="56"/>
      <c r="Q225" s="56"/>
      <c r="R225" s="56"/>
      <c r="S225" s="56"/>
      <c r="T225" s="56"/>
      <c r="U225" s="56"/>
      <c r="V225" s="56">
        <f t="shared" si="59"/>
        <v>0</v>
      </c>
      <c r="W225" s="56"/>
      <c r="X225" s="56"/>
      <c r="Y225" s="56"/>
      <c r="Z225" s="56">
        <v>1</v>
      </c>
      <c r="AA225" s="56"/>
      <c r="AB225" s="56"/>
      <c r="AC225" s="56"/>
      <c r="AD225" s="56"/>
      <c r="AE225" s="56"/>
      <c r="AF225" s="56">
        <f t="shared" si="48"/>
        <v>1</v>
      </c>
      <c r="AG225" s="56">
        <f t="shared" si="49"/>
        <v>0</v>
      </c>
      <c r="AH225" s="56">
        <f t="shared" si="50"/>
        <v>0</v>
      </c>
      <c r="AI225" s="56">
        <f t="shared" si="51"/>
        <v>1</v>
      </c>
      <c r="AJ225" s="56">
        <f t="shared" si="52"/>
        <v>0</v>
      </c>
      <c r="AK225" s="56">
        <f t="shared" si="53"/>
        <v>0</v>
      </c>
      <c r="AL225" s="56">
        <f t="shared" si="54"/>
        <v>0</v>
      </c>
      <c r="AM225" s="56">
        <f t="shared" si="55"/>
        <v>0</v>
      </c>
      <c r="AN225" s="56">
        <f t="shared" si="56"/>
        <v>0</v>
      </c>
      <c r="AO225" s="58">
        <f t="shared" si="61"/>
        <v>1</v>
      </c>
      <c r="AP225" s="69"/>
      <c r="AQ225" s="40">
        <v>0</v>
      </c>
      <c r="AR225" s="40">
        <v>0</v>
      </c>
      <c r="AS225" s="44">
        <f t="shared" si="65"/>
        <v>0.25</v>
      </c>
      <c r="AT225" s="44">
        <f t="shared" si="65"/>
        <v>0.25</v>
      </c>
      <c r="AU225" s="44">
        <f t="shared" si="65"/>
        <v>0.25</v>
      </c>
      <c r="AV225" s="45">
        <f t="shared" si="65"/>
        <v>0.25</v>
      </c>
      <c r="AW225" s="44"/>
      <c r="AX225" s="44"/>
      <c r="AY225" s="44"/>
      <c r="AZ225" s="44"/>
      <c r="BA225" s="45"/>
      <c r="BB225" s="152">
        <f t="shared" si="58"/>
        <v>1</v>
      </c>
      <c r="BC225" s="43">
        <v>513537</v>
      </c>
      <c r="BD225" s="43">
        <v>170046</v>
      </c>
      <c r="BE225" t="s">
        <v>1417</v>
      </c>
      <c r="BF225"/>
    </row>
    <row r="226" spans="1:66" ht="15" customHeight="1" x14ac:dyDescent="0.25">
      <c r="A226" s="56" t="s">
        <v>468</v>
      </c>
      <c r="B226" s="19" t="s">
        <v>38</v>
      </c>
      <c r="C226" s="56"/>
      <c r="D226" s="34">
        <v>43089</v>
      </c>
      <c r="E226" s="34">
        <v>44185</v>
      </c>
      <c r="F226" s="19"/>
      <c r="G226" s="19"/>
      <c r="H226" s="36" t="s">
        <v>1100</v>
      </c>
      <c r="I226" s="19" t="s">
        <v>1173</v>
      </c>
      <c r="J226" s="19"/>
      <c r="K226" s="56" t="s">
        <v>469</v>
      </c>
      <c r="L226" s="57" t="s">
        <v>470</v>
      </c>
      <c r="M226" s="56" t="s">
        <v>471</v>
      </c>
      <c r="N226" s="56"/>
      <c r="O226" s="56"/>
      <c r="P226" s="56">
        <v>1</v>
      </c>
      <c r="Q226" s="56"/>
      <c r="R226" s="56"/>
      <c r="S226" s="56"/>
      <c r="T226" s="56"/>
      <c r="U226" s="56"/>
      <c r="V226" s="56">
        <f t="shared" si="59"/>
        <v>1</v>
      </c>
      <c r="W226" s="56"/>
      <c r="X226" s="56">
        <v>4</v>
      </c>
      <c r="Y226" s="56"/>
      <c r="Z226" s="56"/>
      <c r="AA226" s="56"/>
      <c r="AB226" s="56"/>
      <c r="AC226" s="56"/>
      <c r="AD226" s="56"/>
      <c r="AE226" s="56"/>
      <c r="AF226" s="56">
        <f t="shared" si="48"/>
        <v>4</v>
      </c>
      <c r="AG226" s="56">
        <f t="shared" si="49"/>
        <v>4</v>
      </c>
      <c r="AH226" s="56">
        <f t="shared" si="50"/>
        <v>0</v>
      </c>
      <c r="AI226" s="56">
        <f t="shared" si="51"/>
        <v>-1</v>
      </c>
      <c r="AJ226" s="56">
        <f t="shared" si="52"/>
        <v>0</v>
      </c>
      <c r="AK226" s="56">
        <f t="shared" si="53"/>
        <v>0</v>
      </c>
      <c r="AL226" s="56">
        <f t="shared" si="54"/>
        <v>0</v>
      </c>
      <c r="AM226" s="56">
        <f t="shared" si="55"/>
        <v>0</v>
      </c>
      <c r="AN226" s="56">
        <f t="shared" si="56"/>
        <v>0</v>
      </c>
      <c r="AO226" s="58">
        <f t="shared" si="61"/>
        <v>3</v>
      </c>
      <c r="AP226" s="69"/>
      <c r="AQ226" s="40">
        <v>0</v>
      </c>
      <c r="AR226" s="40">
        <v>0</v>
      </c>
      <c r="AS226" s="44">
        <f t="shared" si="65"/>
        <v>0.75</v>
      </c>
      <c r="AT226" s="44">
        <f t="shared" si="65"/>
        <v>0.75</v>
      </c>
      <c r="AU226" s="44">
        <f t="shared" si="65"/>
        <v>0.75</v>
      </c>
      <c r="AV226" s="45">
        <f t="shared" si="65"/>
        <v>0.75</v>
      </c>
      <c r="AW226" s="44"/>
      <c r="AX226" s="44"/>
      <c r="AY226" s="44"/>
      <c r="AZ226" s="44"/>
      <c r="BA226" s="45"/>
      <c r="BB226" s="152">
        <f t="shared" si="58"/>
        <v>3</v>
      </c>
      <c r="BC226" s="43">
        <v>514558</v>
      </c>
      <c r="BD226" s="43">
        <v>171264</v>
      </c>
      <c r="BE226" t="s">
        <v>1458</v>
      </c>
      <c r="BF226"/>
      <c r="BI226" t="s">
        <v>1551</v>
      </c>
      <c r="BJ226" t="s">
        <v>1503</v>
      </c>
    </row>
    <row r="227" spans="1:66" ht="15" customHeight="1" x14ac:dyDescent="0.25">
      <c r="A227" s="56" t="s">
        <v>476</v>
      </c>
      <c r="B227" s="19" t="s">
        <v>31</v>
      </c>
      <c r="C227" s="56" t="s">
        <v>1203</v>
      </c>
      <c r="D227" s="34">
        <v>43005</v>
      </c>
      <c r="E227" s="34">
        <v>44354</v>
      </c>
      <c r="F227" s="19"/>
      <c r="G227" s="19"/>
      <c r="H227" s="38" t="s">
        <v>1100</v>
      </c>
      <c r="I227" s="19" t="s">
        <v>1173</v>
      </c>
      <c r="J227" s="19"/>
      <c r="K227" s="56" t="s">
        <v>477</v>
      </c>
      <c r="L227" s="46" t="s">
        <v>1103</v>
      </c>
      <c r="M227" s="56" t="s">
        <v>478</v>
      </c>
      <c r="N227" s="56"/>
      <c r="O227" s="56"/>
      <c r="P227" s="56"/>
      <c r="Q227" s="56"/>
      <c r="R227" s="56"/>
      <c r="S227" s="56"/>
      <c r="T227" s="56"/>
      <c r="U227" s="56"/>
      <c r="V227" s="56">
        <f t="shared" si="59"/>
        <v>0</v>
      </c>
      <c r="W227" s="56"/>
      <c r="X227" s="56">
        <v>1</v>
      </c>
      <c r="Y227" s="56"/>
      <c r="Z227" s="56"/>
      <c r="AA227" s="56"/>
      <c r="AB227" s="56"/>
      <c r="AC227" s="56"/>
      <c r="AD227" s="56"/>
      <c r="AE227" s="56">
        <v>0</v>
      </c>
      <c r="AF227" s="56">
        <f t="shared" si="48"/>
        <v>1</v>
      </c>
      <c r="AG227" s="56">
        <f t="shared" si="49"/>
        <v>1</v>
      </c>
      <c r="AH227" s="56">
        <f t="shared" si="50"/>
        <v>0</v>
      </c>
      <c r="AI227" s="56">
        <f t="shared" si="51"/>
        <v>0</v>
      </c>
      <c r="AJ227" s="56">
        <f t="shared" si="52"/>
        <v>0</v>
      </c>
      <c r="AK227" s="56">
        <f t="shared" si="53"/>
        <v>0</v>
      </c>
      <c r="AL227" s="56">
        <f t="shared" si="54"/>
        <v>0</v>
      </c>
      <c r="AM227" s="56">
        <f t="shared" si="55"/>
        <v>0</v>
      </c>
      <c r="AN227" s="56">
        <f t="shared" si="56"/>
        <v>0</v>
      </c>
      <c r="AO227" s="58">
        <f t="shared" si="61"/>
        <v>1</v>
      </c>
      <c r="AP227" s="69"/>
      <c r="AQ227" s="40">
        <v>0</v>
      </c>
      <c r="AR227" s="40">
        <f>$AO227/2</f>
        <v>0.5</v>
      </c>
      <c r="AS227" s="31">
        <f>$AO227/2</f>
        <v>0.5</v>
      </c>
      <c r="AT227" s="31">
        <v>0</v>
      </c>
      <c r="AU227" s="31">
        <v>0</v>
      </c>
      <c r="AV227" s="39">
        <v>0</v>
      </c>
      <c r="AW227" s="31"/>
      <c r="AX227" s="31"/>
      <c r="AY227" s="31"/>
      <c r="AZ227" s="31"/>
      <c r="BA227" s="39"/>
      <c r="BB227" s="152">
        <f t="shared" si="58"/>
        <v>1</v>
      </c>
      <c r="BC227" s="43">
        <v>516215</v>
      </c>
      <c r="BD227" s="43">
        <v>171077</v>
      </c>
      <c r="BE227" t="s">
        <v>1405</v>
      </c>
      <c r="BF227"/>
      <c r="BG227" t="s">
        <v>1405</v>
      </c>
    </row>
    <row r="228" spans="1:66" ht="15" customHeight="1" x14ac:dyDescent="0.25">
      <c r="A228" s="56" t="s">
        <v>479</v>
      </c>
      <c r="B228" s="19" t="s">
        <v>31</v>
      </c>
      <c r="C228" s="56" t="s">
        <v>1203</v>
      </c>
      <c r="D228" s="34">
        <v>43005</v>
      </c>
      <c r="E228" s="34">
        <v>44354</v>
      </c>
      <c r="F228" s="19"/>
      <c r="G228" s="19"/>
      <c r="H228" s="38" t="s">
        <v>1100</v>
      </c>
      <c r="I228" s="19" t="s">
        <v>1173</v>
      </c>
      <c r="J228" s="19"/>
      <c r="K228" s="56" t="s">
        <v>480</v>
      </c>
      <c r="L228" s="46" t="s">
        <v>481</v>
      </c>
      <c r="M228" s="56" t="s">
        <v>478</v>
      </c>
      <c r="N228" s="56"/>
      <c r="O228" s="56"/>
      <c r="P228" s="56"/>
      <c r="Q228" s="56"/>
      <c r="R228" s="56"/>
      <c r="S228" s="56"/>
      <c r="T228" s="56"/>
      <c r="U228" s="56"/>
      <c r="V228" s="56">
        <f t="shared" si="59"/>
        <v>0</v>
      </c>
      <c r="W228" s="56"/>
      <c r="X228" s="56">
        <v>2</v>
      </c>
      <c r="Y228" s="56"/>
      <c r="Z228" s="56"/>
      <c r="AA228" s="56"/>
      <c r="AB228" s="56"/>
      <c r="AC228" s="56"/>
      <c r="AD228" s="56"/>
      <c r="AE228" s="56">
        <v>0</v>
      </c>
      <c r="AF228" s="56">
        <f t="shared" si="48"/>
        <v>2</v>
      </c>
      <c r="AG228" s="56">
        <f t="shared" si="49"/>
        <v>2</v>
      </c>
      <c r="AH228" s="56">
        <f t="shared" si="50"/>
        <v>0</v>
      </c>
      <c r="AI228" s="56">
        <f t="shared" si="51"/>
        <v>0</v>
      </c>
      <c r="AJ228" s="56">
        <f t="shared" si="52"/>
        <v>0</v>
      </c>
      <c r="AK228" s="56">
        <f t="shared" si="53"/>
        <v>0</v>
      </c>
      <c r="AL228" s="56">
        <f t="shared" si="54"/>
        <v>0</v>
      </c>
      <c r="AM228" s="56">
        <f t="shared" si="55"/>
        <v>0</v>
      </c>
      <c r="AN228" s="56">
        <f t="shared" si="56"/>
        <v>0</v>
      </c>
      <c r="AO228" s="58">
        <f t="shared" si="61"/>
        <v>2</v>
      </c>
      <c r="AP228" s="69"/>
      <c r="AQ228" s="40">
        <v>0</v>
      </c>
      <c r="AR228" s="40">
        <f>$AO228/4</f>
        <v>0.5</v>
      </c>
      <c r="AS228" s="31">
        <f>$AO228/4</f>
        <v>0.5</v>
      </c>
      <c r="AT228" s="31">
        <v>0</v>
      </c>
      <c r="AU228" s="31">
        <v>0</v>
      </c>
      <c r="AV228" s="39">
        <v>0</v>
      </c>
      <c r="AW228" s="31"/>
      <c r="AX228" s="31"/>
      <c r="AY228" s="31"/>
      <c r="AZ228" s="31"/>
      <c r="BA228" s="39"/>
      <c r="BB228" s="152">
        <f t="shared" si="58"/>
        <v>1</v>
      </c>
      <c r="BC228" s="43">
        <v>516224</v>
      </c>
      <c r="BD228" s="43">
        <v>171078</v>
      </c>
      <c r="BE228" t="s">
        <v>1405</v>
      </c>
      <c r="BF228"/>
      <c r="BG228" t="s">
        <v>1405</v>
      </c>
    </row>
    <row r="229" spans="1:66" ht="15" customHeight="1" x14ac:dyDescent="0.25">
      <c r="A229" s="56" t="s">
        <v>482</v>
      </c>
      <c r="B229" s="19" t="s">
        <v>20</v>
      </c>
      <c r="C229" s="56"/>
      <c r="D229" s="34">
        <v>43403</v>
      </c>
      <c r="E229" s="34">
        <v>44499</v>
      </c>
      <c r="F229" s="19"/>
      <c r="G229" s="19"/>
      <c r="H229" s="38" t="s">
        <v>1100</v>
      </c>
      <c r="I229" s="19" t="s">
        <v>1173</v>
      </c>
      <c r="J229" s="19"/>
      <c r="K229" s="56" t="s">
        <v>483</v>
      </c>
      <c r="L229" s="46" t="s">
        <v>484</v>
      </c>
      <c r="M229" s="56" t="s">
        <v>485</v>
      </c>
      <c r="N229" s="56"/>
      <c r="O229" s="56"/>
      <c r="P229" s="56"/>
      <c r="Q229" s="56"/>
      <c r="R229" s="56"/>
      <c r="S229" s="56"/>
      <c r="T229" s="56"/>
      <c r="U229" s="56"/>
      <c r="V229" s="56">
        <f t="shared" si="59"/>
        <v>0</v>
      </c>
      <c r="W229" s="56"/>
      <c r="X229" s="56"/>
      <c r="Y229" s="56"/>
      <c r="Z229" s="56">
        <v>2</v>
      </c>
      <c r="AA229" s="56"/>
      <c r="AB229" s="56"/>
      <c r="AC229" s="56"/>
      <c r="AD229" s="56"/>
      <c r="AE229" s="56"/>
      <c r="AF229" s="56">
        <f t="shared" si="48"/>
        <v>2</v>
      </c>
      <c r="AG229" s="56">
        <f t="shared" si="49"/>
        <v>0</v>
      </c>
      <c r="AH229" s="56">
        <f t="shared" si="50"/>
        <v>0</v>
      </c>
      <c r="AI229" s="56">
        <f t="shared" si="51"/>
        <v>2</v>
      </c>
      <c r="AJ229" s="56">
        <f t="shared" si="52"/>
        <v>0</v>
      </c>
      <c r="AK229" s="56">
        <f t="shared" si="53"/>
        <v>0</v>
      </c>
      <c r="AL229" s="56">
        <f t="shared" si="54"/>
        <v>0</v>
      </c>
      <c r="AM229" s="56">
        <f t="shared" si="55"/>
        <v>0</v>
      </c>
      <c r="AN229" s="56">
        <f t="shared" si="56"/>
        <v>0</v>
      </c>
      <c r="AO229" s="58">
        <f t="shared" si="61"/>
        <v>2</v>
      </c>
      <c r="AP229" s="69"/>
      <c r="AQ229" s="40">
        <v>0</v>
      </c>
      <c r="AR229" s="40">
        <v>0</v>
      </c>
      <c r="AS229" s="31">
        <f>$AO229/4</f>
        <v>0.5</v>
      </c>
      <c r="AT229" s="31">
        <f>$AO229/4</f>
        <v>0.5</v>
      </c>
      <c r="AU229" s="31">
        <f>$AO229/4</f>
        <v>0.5</v>
      </c>
      <c r="AV229" s="39">
        <f>$AO229/4</f>
        <v>0.5</v>
      </c>
      <c r="AW229" s="31"/>
      <c r="AX229" s="31"/>
      <c r="AY229" s="31"/>
      <c r="AZ229" s="31"/>
      <c r="BA229" s="39"/>
      <c r="BB229" s="152">
        <f t="shared" si="58"/>
        <v>2</v>
      </c>
      <c r="BC229" s="43">
        <v>516182</v>
      </c>
      <c r="BD229" s="43">
        <v>173653</v>
      </c>
      <c r="BE229" t="s">
        <v>1426</v>
      </c>
      <c r="BF229"/>
      <c r="BG229" t="s">
        <v>1406</v>
      </c>
    </row>
    <row r="230" spans="1:66" ht="15" customHeight="1" x14ac:dyDescent="0.25">
      <c r="A230" s="56" t="s">
        <v>486</v>
      </c>
      <c r="B230" s="19" t="s">
        <v>20</v>
      </c>
      <c r="C230" s="56"/>
      <c r="D230" s="34">
        <v>43174</v>
      </c>
      <c r="E230" s="34">
        <v>44270</v>
      </c>
      <c r="F230" s="37">
        <v>43955</v>
      </c>
      <c r="G230" s="19"/>
      <c r="H230" s="38" t="s">
        <v>1100</v>
      </c>
      <c r="I230" s="19" t="s">
        <v>1173</v>
      </c>
      <c r="J230" s="19"/>
      <c r="K230" s="56" t="s">
        <v>487</v>
      </c>
      <c r="L230" s="46" t="s">
        <v>488</v>
      </c>
      <c r="M230" s="56" t="s">
        <v>489</v>
      </c>
      <c r="N230" s="56"/>
      <c r="O230" s="56"/>
      <c r="P230" s="56"/>
      <c r="Q230" s="56"/>
      <c r="R230" s="56"/>
      <c r="S230" s="56"/>
      <c r="T230" s="56"/>
      <c r="U230" s="56"/>
      <c r="V230" s="56">
        <f t="shared" si="59"/>
        <v>0</v>
      </c>
      <c r="W230" s="56"/>
      <c r="X230" s="56"/>
      <c r="Y230" s="56"/>
      <c r="Z230" s="56"/>
      <c r="AA230" s="56">
        <v>1</v>
      </c>
      <c r="AB230" s="56"/>
      <c r="AC230" s="56"/>
      <c r="AD230" s="56"/>
      <c r="AE230" s="56"/>
      <c r="AF230" s="56">
        <f t="shared" si="48"/>
        <v>1</v>
      </c>
      <c r="AG230" s="56">
        <f t="shared" si="49"/>
        <v>0</v>
      </c>
      <c r="AH230" s="56">
        <f t="shared" si="50"/>
        <v>0</v>
      </c>
      <c r="AI230" s="56">
        <f t="shared" si="51"/>
        <v>0</v>
      </c>
      <c r="AJ230" s="56">
        <f t="shared" si="52"/>
        <v>1</v>
      </c>
      <c r="AK230" s="56">
        <f t="shared" si="53"/>
        <v>0</v>
      </c>
      <c r="AL230" s="56">
        <f t="shared" si="54"/>
        <v>0</v>
      </c>
      <c r="AM230" s="56">
        <f t="shared" si="55"/>
        <v>0</v>
      </c>
      <c r="AN230" s="56">
        <f t="shared" si="56"/>
        <v>0</v>
      </c>
      <c r="AO230" s="58">
        <f t="shared" si="61"/>
        <v>1</v>
      </c>
      <c r="AP230" s="69"/>
      <c r="AQ230" s="40">
        <v>0</v>
      </c>
      <c r="AR230" s="40">
        <f>AO230</f>
        <v>1</v>
      </c>
      <c r="AS230" s="31">
        <v>0</v>
      </c>
      <c r="AT230" s="31">
        <v>0</v>
      </c>
      <c r="AU230" s="31">
        <v>0</v>
      </c>
      <c r="AV230" s="39">
        <v>0</v>
      </c>
      <c r="AW230" s="31"/>
      <c r="AX230" s="31"/>
      <c r="AY230" s="31"/>
      <c r="AZ230" s="31"/>
      <c r="BA230" s="39"/>
      <c r="BB230" s="152">
        <f t="shared" si="58"/>
        <v>1</v>
      </c>
      <c r="BC230" s="43">
        <v>516426</v>
      </c>
      <c r="BD230" s="43">
        <v>173349</v>
      </c>
      <c r="BE230" t="s">
        <v>1426</v>
      </c>
      <c r="BF230"/>
      <c r="BG230" t="s">
        <v>1406</v>
      </c>
      <c r="BM230" t="s">
        <v>1545</v>
      </c>
      <c r="BN230" t="s">
        <v>1516</v>
      </c>
    </row>
    <row r="231" spans="1:66" ht="15" customHeight="1" x14ac:dyDescent="0.25">
      <c r="A231" s="56" t="s">
        <v>493</v>
      </c>
      <c r="B231" s="19" t="s">
        <v>20</v>
      </c>
      <c r="C231" s="56"/>
      <c r="D231" s="34">
        <v>43115</v>
      </c>
      <c r="E231" s="34">
        <v>44211</v>
      </c>
      <c r="F231" s="19"/>
      <c r="G231" s="19"/>
      <c r="H231" s="38" t="s">
        <v>1100</v>
      </c>
      <c r="I231" s="19" t="s">
        <v>1173</v>
      </c>
      <c r="J231" s="19"/>
      <c r="K231" s="56" t="s">
        <v>494</v>
      </c>
      <c r="L231" s="46" t="s">
        <v>495</v>
      </c>
      <c r="M231" s="56" t="s">
        <v>368</v>
      </c>
      <c r="N231" s="56"/>
      <c r="O231" s="56"/>
      <c r="P231" s="56">
        <v>1</v>
      </c>
      <c r="Q231" s="56"/>
      <c r="R231" s="56"/>
      <c r="S231" s="56"/>
      <c r="T231" s="56"/>
      <c r="U231" s="56"/>
      <c r="V231" s="56">
        <f t="shared" si="59"/>
        <v>1</v>
      </c>
      <c r="W231" s="56"/>
      <c r="X231" s="56"/>
      <c r="Y231" s="56"/>
      <c r="Z231" s="56"/>
      <c r="AA231" s="56"/>
      <c r="AB231" s="56">
        <v>1</v>
      </c>
      <c r="AC231" s="56"/>
      <c r="AD231" s="56"/>
      <c r="AE231" s="56"/>
      <c r="AF231" s="56">
        <f t="shared" si="48"/>
        <v>1</v>
      </c>
      <c r="AG231" s="56">
        <f t="shared" si="49"/>
        <v>0</v>
      </c>
      <c r="AH231" s="56">
        <f t="shared" si="50"/>
        <v>0</v>
      </c>
      <c r="AI231" s="56">
        <f t="shared" si="51"/>
        <v>-1</v>
      </c>
      <c r="AJ231" s="56">
        <f t="shared" si="52"/>
        <v>0</v>
      </c>
      <c r="AK231" s="56">
        <f t="shared" si="53"/>
        <v>1</v>
      </c>
      <c r="AL231" s="56">
        <f t="shared" si="54"/>
        <v>0</v>
      </c>
      <c r="AM231" s="56">
        <f t="shared" si="55"/>
        <v>0</v>
      </c>
      <c r="AN231" s="56">
        <f t="shared" si="56"/>
        <v>0</v>
      </c>
      <c r="AO231" s="58">
        <f t="shared" si="61"/>
        <v>0</v>
      </c>
      <c r="AP231" s="69"/>
      <c r="AQ231" s="40">
        <v>0</v>
      </c>
      <c r="AR231" s="40">
        <v>0</v>
      </c>
      <c r="AS231" s="31">
        <v>0</v>
      </c>
      <c r="AT231" s="31">
        <v>0</v>
      </c>
      <c r="AU231" s="31">
        <v>0</v>
      </c>
      <c r="AV231" s="39">
        <v>0</v>
      </c>
      <c r="AW231" s="31"/>
      <c r="AX231" s="31"/>
      <c r="AY231" s="31"/>
      <c r="AZ231" s="31"/>
      <c r="BA231" s="39"/>
      <c r="BB231" s="152">
        <f t="shared" si="58"/>
        <v>0</v>
      </c>
      <c r="BC231" s="43">
        <v>522475</v>
      </c>
      <c r="BD231" s="43">
        <v>177141</v>
      </c>
      <c r="BE231" t="s">
        <v>1414</v>
      </c>
      <c r="BF231"/>
      <c r="BM231" t="s">
        <v>1545</v>
      </c>
      <c r="BN231" t="s">
        <v>1508</v>
      </c>
    </row>
    <row r="232" spans="1:66" ht="15" customHeight="1" x14ac:dyDescent="0.25">
      <c r="A232" s="56" t="s">
        <v>500</v>
      </c>
      <c r="B232" s="19" t="s">
        <v>31</v>
      </c>
      <c r="C232" s="56" t="s">
        <v>1203</v>
      </c>
      <c r="D232" s="34">
        <v>43042</v>
      </c>
      <c r="E232" s="34">
        <v>44138</v>
      </c>
      <c r="F232" s="19"/>
      <c r="G232" s="19"/>
      <c r="H232" s="38" t="s">
        <v>1100</v>
      </c>
      <c r="I232" s="19" t="s">
        <v>1173</v>
      </c>
      <c r="J232" s="19"/>
      <c r="K232" s="56" t="s">
        <v>501</v>
      </c>
      <c r="L232" s="46" t="s">
        <v>502</v>
      </c>
      <c r="M232" s="56" t="s">
        <v>129</v>
      </c>
      <c r="N232" s="56"/>
      <c r="O232" s="56"/>
      <c r="P232" s="56"/>
      <c r="Q232" s="56"/>
      <c r="R232" s="56"/>
      <c r="S232" s="56"/>
      <c r="T232" s="56"/>
      <c r="U232" s="56"/>
      <c r="V232" s="56">
        <f t="shared" si="59"/>
        <v>0</v>
      </c>
      <c r="W232" s="56"/>
      <c r="X232" s="56">
        <v>1</v>
      </c>
      <c r="Y232" s="56"/>
      <c r="Z232" s="56"/>
      <c r="AA232" s="56"/>
      <c r="AB232" s="56"/>
      <c r="AC232" s="56"/>
      <c r="AD232" s="56"/>
      <c r="AE232" s="56"/>
      <c r="AF232" s="56">
        <f t="shared" si="48"/>
        <v>1</v>
      </c>
      <c r="AG232" s="56">
        <f t="shared" si="49"/>
        <v>1</v>
      </c>
      <c r="AH232" s="56">
        <f t="shared" si="50"/>
        <v>0</v>
      </c>
      <c r="AI232" s="56">
        <f t="shared" si="51"/>
        <v>0</v>
      </c>
      <c r="AJ232" s="56">
        <f t="shared" si="52"/>
        <v>0</v>
      </c>
      <c r="AK232" s="56">
        <f t="shared" si="53"/>
        <v>0</v>
      </c>
      <c r="AL232" s="56">
        <f t="shared" si="54"/>
        <v>0</v>
      </c>
      <c r="AM232" s="56">
        <f t="shared" si="55"/>
        <v>0</v>
      </c>
      <c r="AN232" s="56">
        <f t="shared" si="56"/>
        <v>0</v>
      </c>
      <c r="AO232" s="58">
        <f t="shared" si="61"/>
        <v>1</v>
      </c>
      <c r="AP232" s="69"/>
      <c r="AQ232" s="40">
        <v>0</v>
      </c>
      <c r="AR232" s="40">
        <v>0</v>
      </c>
      <c r="AS232" s="44">
        <f t="shared" ref="AS232:AV234" si="66">$AO232/4</f>
        <v>0.25</v>
      </c>
      <c r="AT232" s="44">
        <f t="shared" si="66"/>
        <v>0.25</v>
      </c>
      <c r="AU232" s="44">
        <f t="shared" si="66"/>
        <v>0.25</v>
      </c>
      <c r="AV232" s="45">
        <f t="shared" si="66"/>
        <v>0.25</v>
      </c>
      <c r="AW232" s="44"/>
      <c r="AX232" s="44"/>
      <c r="AY232" s="44"/>
      <c r="AZ232" s="44"/>
      <c r="BA232" s="45"/>
      <c r="BB232" s="152">
        <f t="shared" si="58"/>
        <v>1</v>
      </c>
      <c r="BC232" s="43">
        <v>516208</v>
      </c>
      <c r="BD232" s="43">
        <v>171077</v>
      </c>
      <c r="BE232" t="s">
        <v>1405</v>
      </c>
      <c r="BF232"/>
      <c r="BG232" t="s">
        <v>1405</v>
      </c>
    </row>
    <row r="233" spans="1:66" ht="15" customHeight="1" x14ac:dyDescent="0.25">
      <c r="A233" s="56" t="s">
        <v>503</v>
      </c>
      <c r="B233" s="19" t="s">
        <v>31</v>
      </c>
      <c r="C233" s="56"/>
      <c r="D233" s="34">
        <v>43132</v>
      </c>
      <c r="E233" s="34">
        <v>44229</v>
      </c>
      <c r="F233" s="19"/>
      <c r="G233" s="19"/>
      <c r="H233" s="38" t="s">
        <v>1100</v>
      </c>
      <c r="I233" s="19" t="s">
        <v>1173</v>
      </c>
      <c r="J233" s="19"/>
      <c r="K233" s="56" t="s">
        <v>504</v>
      </c>
      <c r="L233" s="46" t="s">
        <v>505</v>
      </c>
      <c r="M233" s="56" t="s">
        <v>506</v>
      </c>
      <c r="N233" s="56">
        <v>1</v>
      </c>
      <c r="O233" s="56"/>
      <c r="P233" s="56"/>
      <c r="Q233" s="56"/>
      <c r="R233" s="56"/>
      <c r="S233" s="56"/>
      <c r="T233" s="56"/>
      <c r="U233" s="56"/>
      <c r="V233" s="56">
        <f t="shared" si="59"/>
        <v>1</v>
      </c>
      <c r="W233" s="56"/>
      <c r="X233" s="56"/>
      <c r="Y233" s="56"/>
      <c r="Z233" s="56"/>
      <c r="AA233" s="56"/>
      <c r="AB233" s="56"/>
      <c r="AC233" s="56"/>
      <c r="AD233" s="56"/>
      <c r="AE233" s="56"/>
      <c r="AF233" s="56">
        <f t="shared" si="48"/>
        <v>0</v>
      </c>
      <c r="AG233" s="56">
        <f t="shared" si="49"/>
        <v>-1</v>
      </c>
      <c r="AH233" s="56">
        <f t="shared" si="50"/>
        <v>0</v>
      </c>
      <c r="AI233" s="56">
        <f t="shared" si="51"/>
        <v>0</v>
      </c>
      <c r="AJ233" s="56">
        <f t="shared" si="52"/>
        <v>0</v>
      </c>
      <c r="AK233" s="56">
        <f t="shared" si="53"/>
        <v>0</v>
      </c>
      <c r="AL233" s="56">
        <f t="shared" si="54"/>
        <v>0</v>
      </c>
      <c r="AM233" s="56">
        <f t="shared" si="55"/>
        <v>0</v>
      </c>
      <c r="AN233" s="56">
        <f t="shared" si="56"/>
        <v>0</v>
      </c>
      <c r="AO233" s="58">
        <f t="shared" si="61"/>
        <v>-1</v>
      </c>
      <c r="AP233" s="69"/>
      <c r="AQ233" s="40">
        <v>0</v>
      </c>
      <c r="AR233" s="40">
        <v>0</v>
      </c>
      <c r="AS233" s="44">
        <f t="shared" si="66"/>
        <v>-0.25</v>
      </c>
      <c r="AT233" s="44">
        <f t="shared" si="66"/>
        <v>-0.25</v>
      </c>
      <c r="AU233" s="44">
        <f t="shared" si="66"/>
        <v>-0.25</v>
      </c>
      <c r="AV233" s="45">
        <f t="shared" si="66"/>
        <v>-0.25</v>
      </c>
      <c r="AW233" s="44"/>
      <c r="AX233" s="44"/>
      <c r="AY233" s="44"/>
      <c r="AZ233" s="44"/>
      <c r="BA233" s="45"/>
      <c r="BB233" s="152">
        <f t="shared" si="58"/>
        <v>-1</v>
      </c>
      <c r="BC233" s="43">
        <v>515091</v>
      </c>
      <c r="BD233" s="43">
        <v>171518</v>
      </c>
      <c r="BE233" t="s">
        <v>1458</v>
      </c>
      <c r="BF233"/>
      <c r="BI233" t="s">
        <v>1551</v>
      </c>
      <c r="BJ233" t="s">
        <v>1514</v>
      </c>
    </row>
    <row r="234" spans="1:66" ht="15" customHeight="1" x14ac:dyDescent="0.25">
      <c r="A234" s="56" t="s">
        <v>507</v>
      </c>
      <c r="B234" s="19" t="s">
        <v>20</v>
      </c>
      <c r="C234" s="56"/>
      <c r="D234" s="34">
        <v>43307</v>
      </c>
      <c r="E234" s="34">
        <v>44403</v>
      </c>
      <c r="F234" s="19"/>
      <c r="G234" s="19"/>
      <c r="H234" s="38" t="s">
        <v>1100</v>
      </c>
      <c r="I234" s="19" t="s">
        <v>1173</v>
      </c>
      <c r="J234" s="19"/>
      <c r="K234" s="56" t="s">
        <v>508</v>
      </c>
      <c r="L234" s="46" t="s">
        <v>509</v>
      </c>
      <c r="M234" s="56" t="s">
        <v>510</v>
      </c>
      <c r="N234" s="56"/>
      <c r="O234" s="56"/>
      <c r="P234" s="56"/>
      <c r="Q234" s="56"/>
      <c r="R234" s="56"/>
      <c r="S234" s="56"/>
      <c r="T234" s="56"/>
      <c r="U234" s="56"/>
      <c r="V234" s="56">
        <f t="shared" si="59"/>
        <v>0</v>
      </c>
      <c r="W234" s="56"/>
      <c r="X234" s="56"/>
      <c r="Y234" s="56">
        <v>1</v>
      </c>
      <c r="Z234" s="56">
        <v>1</v>
      </c>
      <c r="AA234" s="56"/>
      <c r="AB234" s="56"/>
      <c r="AC234" s="56"/>
      <c r="AD234" s="56"/>
      <c r="AE234" s="56"/>
      <c r="AF234" s="56">
        <f t="shared" si="48"/>
        <v>2</v>
      </c>
      <c r="AG234" s="56">
        <f t="shared" si="49"/>
        <v>0</v>
      </c>
      <c r="AH234" s="56">
        <f t="shared" si="50"/>
        <v>1</v>
      </c>
      <c r="AI234" s="56">
        <f t="shared" si="51"/>
        <v>1</v>
      </c>
      <c r="AJ234" s="56">
        <f t="shared" si="52"/>
        <v>0</v>
      </c>
      <c r="AK234" s="56">
        <f t="shared" si="53"/>
        <v>0</v>
      </c>
      <c r="AL234" s="56">
        <f t="shared" si="54"/>
        <v>0</v>
      </c>
      <c r="AM234" s="56">
        <f t="shared" si="55"/>
        <v>0</v>
      </c>
      <c r="AN234" s="56">
        <f t="shared" si="56"/>
        <v>0</v>
      </c>
      <c r="AO234" s="58">
        <f t="shared" si="61"/>
        <v>2</v>
      </c>
      <c r="AP234" s="69"/>
      <c r="AQ234" s="40">
        <v>0</v>
      </c>
      <c r="AR234" s="40">
        <v>0</v>
      </c>
      <c r="AS234" s="31">
        <f t="shared" si="66"/>
        <v>0.5</v>
      </c>
      <c r="AT234" s="31">
        <f t="shared" si="66"/>
        <v>0.5</v>
      </c>
      <c r="AU234" s="31">
        <f t="shared" si="66"/>
        <v>0.5</v>
      </c>
      <c r="AV234" s="39">
        <f t="shared" si="66"/>
        <v>0.5</v>
      </c>
      <c r="AW234" s="31"/>
      <c r="AX234" s="31"/>
      <c r="AY234" s="31"/>
      <c r="AZ234" s="31"/>
      <c r="BA234" s="39"/>
      <c r="BB234" s="152">
        <f t="shared" si="58"/>
        <v>2</v>
      </c>
      <c r="BC234" s="43">
        <v>514975</v>
      </c>
      <c r="BD234" s="43">
        <v>171285</v>
      </c>
      <c r="BE234" t="s">
        <v>1458</v>
      </c>
      <c r="BF234"/>
    </row>
    <row r="235" spans="1:66" ht="15" customHeight="1" x14ac:dyDescent="0.25">
      <c r="A235" s="56" t="s">
        <v>514</v>
      </c>
      <c r="B235" s="19" t="s">
        <v>48</v>
      </c>
      <c r="C235" s="56"/>
      <c r="D235" s="34">
        <v>43182</v>
      </c>
      <c r="E235" s="34">
        <v>44278</v>
      </c>
      <c r="F235" s="19"/>
      <c r="G235" s="19"/>
      <c r="H235" s="38" t="s">
        <v>1100</v>
      </c>
      <c r="I235" s="19" t="s">
        <v>1173</v>
      </c>
      <c r="J235" s="19"/>
      <c r="K235" s="56" t="s">
        <v>515</v>
      </c>
      <c r="L235" s="57" t="s">
        <v>516</v>
      </c>
      <c r="M235" s="56" t="s">
        <v>517</v>
      </c>
      <c r="N235" s="56">
        <v>1</v>
      </c>
      <c r="O235" s="56">
        <v>2</v>
      </c>
      <c r="P235" s="56"/>
      <c r="Q235" s="56"/>
      <c r="R235" s="56"/>
      <c r="S235" s="56"/>
      <c r="T235" s="56"/>
      <c r="U235" s="56"/>
      <c r="V235" s="56">
        <f t="shared" ref="V235:V266" si="67">SUM(N235:U235)</f>
        <v>3</v>
      </c>
      <c r="W235" s="56"/>
      <c r="X235" s="56">
        <v>5</v>
      </c>
      <c r="Y235" s="56">
        <v>2</v>
      </c>
      <c r="Z235" s="56"/>
      <c r="AA235" s="56"/>
      <c r="AB235" s="56"/>
      <c r="AC235" s="56"/>
      <c r="AD235" s="56"/>
      <c r="AE235" s="56"/>
      <c r="AF235" s="56">
        <f t="shared" si="48"/>
        <v>7</v>
      </c>
      <c r="AG235" s="56">
        <f t="shared" si="49"/>
        <v>4</v>
      </c>
      <c r="AH235" s="56">
        <f t="shared" si="50"/>
        <v>0</v>
      </c>
      <c r="AI235" s="56">
        <f t="shared" si="51"/>
        <v>0</v>
      </c>
      <c r="AJ235" s="56">
        <f t="shared" si="52"/>
        <v>0</v>
      </c>
      <c r="AK235" s="56">
        <f t="shared" si="53"/>
        <v>0</v>
      </c>
      <c r="AL235" s="56">
        <f t="shared" si="54"/>
        <v>0</v>
      </c>
      <c r="AM235" s="56">
        <f t="shared" si="55"/>
        <v>0</v>
      </c>
      <c r="AN235" s="56">
        <f t="shared" si="56"/>
        <v>0</v>
      </c>
      <c r="AO235" s="58">
        <f t="shared" si="61"/>
        <v>4</v>
      </c>
      <c r="AP235" s="69"/>
      <c r="AQ235" s="40">
        <v>0</v>
      </c>
      <c r="AR235" s="40">
        <f>$AO235/3</f>
        <v>1.3333333333333333</v>
      </c>
      <c r="AS235" s="31">
        <f>$AO235/3</f>
        <v>1.3333333333333333</v>
      </c>
      <c r="AT235" s="31">
        <f>$AO235/3</f>
        <v>1.3333333333333333</v>
      </c>
      <c r="AU235" s="31">
        <v>0</v>
      </c>
      <c r="AV235" s="39">
        <v>0</v>
      </c>
      <c r="AW235" s="31"/>
      <c r="AX235" s="31"/>
      <c r="AY235" s="31"/>
      <c r="AZ235" s="31"/>
      <c r="BA235" s="39"/>
      <c r="BB235" s="152">
        <f t="shared" si="58"/>
        <v>4</v>
      </c>
      <c r="BC235" s="43">
        <v>521762</v>
      </c>
      <c r="BD235" s="43">
        <v>176415</v>
      </c>
      <c r="BE235" t="s">
        <v>1414</v>
      </c>
      <c r="BF235"/>
      <c r="BI235" t="s">
        <v>1551</v>
      </c>
      <c r="BJ235" t="s">
        <v>1503</v>
      </c>
      <c r="BM235" t="s">
        <v>1545</v>
      </c>
      <c r="BN235" t="s">
        <v>1525</v>
      </c>
    </row>
    <row r="236" spans="1:66" ht="15" customHeight="1" x14ac:dyDescent="0.25">
      <c r="A236" s="56" t="s">
        <v>522</v>
      </c>
      <c r="B236" s="19" t="s">
        <v>31</v>
      </c>
      <c r="C236" s="56" t="s">
        <v>1203</v>
      </c>
      <c r="D236" s="34">
        <v>43091</v>
      </c>
      <c r="E236" s="34">
        <v>44187</v>
      </c>
      <c r="F236" s="19"/>
      <c r="G236" s="19"/>
      <c r="H236" s="38" t="s">
        <v>1100</v>
      </c>
      <c r="I236" s="19" t="s">
        <v>1173</v>
      </c>
      <c r="J236" s="19"/>
      <c r="K236" s="56" t="s">
        <v>523</v>
      </c>
      <c r="L236" s="57" t="s">
        <v>524</v>
      </c>
      <c r="M236" s="56" t="s">
        <v>525</v>
      </c>
      <c r="N236" s="56"/>
      <c r="O236" s="56"/>
      <c r="P236" s="56"/>
      <c r="Q236" s="56"/>
      <c r="R236" s="56"/>
      <c r="S236" s="56"/>
      <c r="T236" s="56"/>
      <c r="U236" s="56"/>
      <c r="V236" s="56">
        <f t="shared" si="67"/>
        <v>0</v>
      </c>
      <c r="W236" s="56"/>
      <c r="X236" s="56">
        <v>6</v>
      </c>
      <c r="Y236" s="56"/>
      <c r="Z236" s="56"/>
      <c r="AA236" s="56"/>
      <c r="AB236" s="56"/>
      <c r="AC236" s="56"/>
      <c r="AD236" s="56"/>
      <c r="AE236" s="56"/>
      <c r="AF236" s="56">
        <f t="shared" si="48"/>
        <v>6</v>
      </c>
      <c r="AG236" s="56">
        <f t="shared" si="49"/>
        <v>6</v>
      </c>
      <c r="AH236" s="56">
        <f t="shared" si="50"/>
        <v>0</v>
      </c>
      <c r="AI236" s="56">
        <f t="shared" si="51"/>
        <v>0</v>
      </c>
      <c r="AJ236" s="56">
        <f t="shared" si="52"/>
        <v>0</v>
      </c>
      <c r="AK236" s="56">
        <f t="shared" si="53"/>
        <v>0</v>
      </c>
      <c r="AL236" s="56">
        <f t="shared" si="54"/>
        <v>0</v>
      </c>
      <c r="AM236" s="56">
        <f t="shared" si="55"/>
        <v>0</v>
      </c>
      <c r="AN236" s="56">
        <f t="shared" si="56"/>
        <v>0</v>
      </c>
      <c r="AO236" s="58">
        <f t="shared" si="61"/>
        <v>6</v>
      </c>
      <c r="AP236" s="69"/>
      <c r="AQ236" s="40">
        <v>0</v>
      </c>
      <c r="AR236" s="40">
        <v>0</v>
      </c>
      <c r="AS236" s="31">
        <f t="shared" ref="AS236:AV240" si="68">$AO236/4</f>
        <v>1.5</v>
      </c>
      <c r="AT236" s="31">
        <f t="shared" si="68"/>
        <v>1.5</v>
      </c>
      <c r="AU236" s="31">
        <f t="shared" si="68"/>
        <v>1.5</v>
      </c>
      <c r="AV236" s="39">
        <f t="shared" si="68"/>
        <v>1.5</v>
      </c>
      <c r="AW236" s="31"/>
      <c r="AX236" s="31"/>
      <c r="AY236" s="31"/>
      <c r="AZ236" s="31"/>
      <c r="BA236" s="39"/>
      <c r="BB236" s="152">
        <f t="shared" si="58"/>
        <v>6</v>
      </c>
      <c r="BC236" s="43">
        <v>520442</v>
      </c>
      <c r="BD236" s="43">
        <v>175588</v>
      </c>
      <c r="BE236" t="s">
        <v>1402</v>
      </c>
      <c r="BF236"/>
      <c r="BM236" t="s">
        <v>1545</v>
      </c>
      <c r="BN236" t="s">
        <v>1495</v>
      </c>
    </row>
    <row r="237" spans="1:66" ht="15" customHeight="1" x14ac:dyDescent="0.25">
      <c r="A237" s="56" t="s">
        <v>526</v>
      </c>
      <c r="B237" s="19" t="s">
        <v>31</v>
      </c>
      <c r="C237" s="56" t="s">
        <v>1203</v>
      </c>
      <c r="D237" s="34">
        <v>43080</v>
      </c>
      <c r="E237" s="34">
        <v>44176</v>
      </c>
      <c r="F237" s="19"/>
      <c r="G237" s="19"/>
      <c r="H237" s="38" t="s">
        <v>1100</v>
      </c>
      <c r="I237" s="19" t="s">
        <v>1173</v>
      </c>
      <c r="J237" s="19"/>
      <c r="K237" s="56" t="s">
        <v>527</v>
      </c>
      <c r="L237" s="57" t="s">
        <v>528</v>
      </c>
      <c r="M237" s="56" t="s">
        <v>529</v>
      </c>
      <c r="N237" s="56"/>
      <c r="O237" s="56"/>
      <c r="P237" s="56"/>
      <c r="Q237" s="56"/>
      <c r="R237" s="56"/>
      <c r="S237" s="56"/>
      <c r="T237" s="56"/>
      <c r="U237" s="56"/>
      <c r="V237" s="56">
        <f t="shared" si="67"/>
        <v>0</v>
      </c>
      <c r="W237" s="56"/>
      <c r="X237" s="56"/>
      <c r="Y237" s="56">
        <v>1</v>
      </c>
      <c r="Z237" s="56">
        <v>1</v>
      </c>
      <c r="AA237" s="56"/>
      <c r="AB237" s="56"/>
      <c r="AC237" s="56"/>
      <c r="AD237" s="56"/>
      <c r="AE237" s="56"/>
      <c r="AF237" s="56">
        <f t="shared" si="48"/>
        <v>2</v>
      </c>
      <c r="AG237" s="56">
        <f t="shared" si="49"/>
        <v>0</v>
      </c>
      <c r="AH237" s="56">
        <f t="shared" si="50"/>
        <v>1</v>
      </c>
      <c r="AI237" s="56">
        <f t="shared" si="51"/>
        <v>1</v>
      </c>
      <c r="AJ237" s="56">
        <f t="shared" si="52"/>
        <v>0</v>
      </c>
      <c r="AK237" s="56">
        <f t="shared" si="53"/>
        <v>0</v>
      </c>
      <c r="AL237" s="56">
        <f t="shared" si="54"/>
        <v>0</v>
      </c>
      <c r="AM237" s="56">
        <f t="shared" si="55"/>
        <v>0</v>
      </c>
      <c r="AN237" s="56">
        <f t="shared" si="56"/>
        <v>0</v>
      </c>
      <c r="AO237" s="58">
        <f t="shared" ref="AO237:AO268" si="69">AF237-V237</f>
        <v>2</v>
      </c>
      <c r="AP237" s="69"/>
      <c r="AQ237" s="40">
        <v>0</v>
      </c>
      <c r="AR237" s="40">
        <v>0</v>
      </c>
      <c r="AS237" s="31">
        <f t="shared" si="68"/>
        <v>0.5</v>
      </c>
      <c r="AT237" s="31">
        <f t="shared" si="68"/>
        <v>0.5</v>
      </c>
      <c r="AU237" s="31">
        <f t="shared" si="68"/>
        <v>0.5</v>
      </c>
      <c r="AV237" s="39">
        <f t="shared" si="68"/>
        <v>0.5</v>
      </c>
      <c r="AW237" s="31"/>
      <c r="AX237" s="31"/>
      <c r="AY237" s="31"/>
      <c r="AZ237" s="31"/>
      <c r="BA237" s="39"/>
      <c r="BB237" s="152">
        <f t="shared" si="58"/>
        <v>2</v>
      </c>
      <c r="BC237" s="43">
        <v>515664</v>
      </c>
      <c r="BD237" s="43">
        <v>171121</v>
      </c>
      <c r="BE237" t="s">
        <v>1405</v>
      </c>
      <c r="BF237"/>
    </row>
    <row r="238" spans="1:66" ht="15" customHeight="1" x14ac:dyDescent="0.25">
      <c r="A238" s="56" t="s">
        <v>530</v>
      </c>
      <c r="B238" s="19" t="s">
        <v>48</v>
      </c>
      <c r="C238" s="56"/>
      <c r="D238" s="34">
        <v>43895</v>
      </c>
      <c r="E238" s="34">
        <v>44990</v>
      </c>
      <c r="F238" s="19"/>
      <c r="G238" s="19"/>
      <c r="H238" s="38" t="s">
        <v>1100</v>
      </c>
      <c r="I238" s="19" t="s">
        <v>1173</v>
      </c>
      <c r="J238" s="19"/>
      <c r="K238" s="56" t="s">
        <v>531</v>
      </c>
      <c r="L238" s="57" t="s">
        <v>532</v>
      </c>
      <c r="M238" s="56" t="s">
        <v>533</v>
      </c>
      <c r="N238" s="56">
        <v>1</v>
      </c>
      <c r="O238" s="56"/>
      <c r="P238" s="56"/>
      <c r="Q238" s="56"/>
      <c r="R238" s="56"/>
      <c r="S238" s="56"/>
      <c r="T238" s="56"/>
      <c r="U238" s="56"/>
      <c r="V238" s="56">
        <f t="shared" si="67"/>
        <v>1</v>
      </c>
      <c r="W238" s="56"/>
      <c r="X238" s="56">
        <v>2</v>
      </c>
      <c r="Y238" s="56"/>
      <c r="Z238" s="56"/>
      <c r="AA238" s="56"/>
      <c r="AB238" s="56"/>
      <c r="AC238" s="56"/>
      <c r="AD238" s="56"/>
      <c r="AE238" s="56"/>
      <c r="AF238" s="56">
        <f t="shared" si="48"/>
        <v>2</v>
      </c>
      <c r="AG238" s="56">
        <f t="shared" si="49"/>
        <v>1</v>
      </c>
      <c r="AH238" s="56">
        <f t="shared" si="50"/>
        <v>0</v>
      </c>
      <c r="AI238" s="56">
        <f t="shared" si="51"/>
        <v>0</v>
      </c>
      <c r="AJ238" s="56">
        <f t="shared" si="52"/>
        <v>0</v>
      </c>
      <c r="AK238" s="56">
        <f t="shared" si="53"/>
        <v>0</v>
      </c>
      <c r="AL238" s="56">
        <f t="shared" si="54"/>
        <v>0</v>
      </c>
      <c r="AM238" s="56">
        <f t="shared" si="55"/>
        <v>0</v>
      </c>
      <c r="AN238" s="56">
        <f t="shared" si="56"/>
        <v>0</v>
      </c>
      <c r="AO238" s="58">
        <f t="shared" si="69"/>
        <v>1</v>
      </c>
      <c r="AP238" s="69"/>
      <c r="AQ238" s="40">
        <v>0</v>
      </c>
      <c r="AR238" s="40">
        <v>0</v>
      </c>
      <c r="AS238" s="44">
        <f t="shared" si="68"/>
        <v>0.25</v>
      </c>
      <c r="AT238" s="44">
        <f t="shared" si="68"/>
        <v>0.25</v>
      </c>
      <c r="AU238" s="44">
        <f t="shared" si="68"/>
        <v>0.25</v>
      </c>
      <c r="AV238" s="45">
        <f t="shared" si="68"/>
        <v>0.25</v>
      </c>
      <c r="AW238" s="44"/>
      <c r="AX238" s="44"/>
      <c r="AY238" s="44"/>
      <c r="AZ238" s="44"/>
      <c r="BA238" s="45"/>
      <c r="BB238" s="152">
        <f t="shared" si="58"/>
        <v>1</v>
      </c>
      <c r="BC238" s="43">
        <v>518109</v>
      </c>
      <c r="BD238" s="43">
        <v>175300</v>
      </c>
      <c r="BE238" t="s">
        <v>1423</v>
      </c>
      <c r="BF238"/>
      <c r="BG238" t="s">
        <v>1403</v>
      </c>
      <c r="BM238" t="s">
        <v>1545</v>
      </c>
      <c r="BN238" t="s">
        <v>1511</v>
      </c>
    </row>
    <row r="239" spans="1:66" ht="15" customHeight="1" x14ac:dyDescent="0.25">
      <c r="A239" s="56" t="s">
        <v>534</v>
      </c>
      <c r="B239" s="19" t="s">
        <v>31</v>
      </c>
      <c r="C239" s="56"/>
      <c r="D239" s="34">
        <v>43434</v>
      </c>
      <c r="E239" s="34">
        <v>44639</v>
      </c>
      <c r="F239" s="34"/>
      <c r="G239" s="19"/>
      <c r="H239" s="38" t="s">
        <v>1100</v>
      </c>
      <c r="I239" s="19" t="s">
        <v>1173</v>
      </c>
      <c r="J239" s="19"/>
      <c r="K239" s="56" t="s">
        <v>1244</v>
      </c>
      <c r="L239" s="57" t="s">
        <v>535</v>
      </c>
      <c r="M239" s="56" t="s">
        <v>536</v>
      </c>
      <c r="N239" s="56"/>
      <c r="O239" s="56"/>
      <c r="P239" s="56">
        <v>1</v>
      </c>
      <c r="Q239" s="56"/>
      <c r="R239" s="56"/>
      <c r="S239" s="56"/>
      <c r="T239" s="56"/>
      <c r="U239" s="56"/>
      <c r="V239" s="56">
        <f t="shared" si="67"/>
        <v>1</v>
      </c>
      <c r="W239" s="56"/>
      <c r="X239" s="56">
        <v>1</v>
      </c>
      <c r="Y239" s="56">
        <v>2</v>
      </c>
      <c r="Z239" s="56"/>
      <c r="AA239" s="56"/>
      <c r="AB239" s="56"/>
      <c r="AC239" s="56"/>
      <c r="AD239" s="56"/>
      <c r="AE239" s="56"/>
      <c r="AF239" s="56">
        <f t="shared" si="48"/>
        <v>3</v>
      </c>
      <c r="AG239" s="56">
        <f t="shared" si="49"/>
        <v>1</v>
      </c>
      <c r="AH239" s="56">
        <f t="shared" si="50"/>
        <v>2</v>
      </c>
      <c r="AI239" s="56">
        <f t="shared" si="51"/>
        <v>-1</v>
      </c>
      <c r="AJ239" s="56">
        <f t="shared" si="52"/>
        <v>0</v>
      </c>
      <c r="AK239" s="56">
        <f t="shared" si="53"/>
        <v>0</v>
      </c>
      <c r="AL239" s="56">
        <f t="shared" si="54"/>
        <v>0</v>
      </c>
      <c r="AM239" s="56">
        <f t="shared" si="55"/>
        <v>0</v>
      </c>
      <c r="AN239" s="56">
        <f t="shared" si="56"/>
        <v>0</v>
      </c>
      <c r="AO239" s="58">
        <f t="shared" si="69"/>
        <v>2</v>
      </c>
      <c r="AP239" s="69"/>
      <c r="AQ239" s="40">
        <v>0</v>
      </c>
      <c r="AR239" s="40">
        <v>0</v>
      </c>
      <c r="AS239" s="31">
        <f t="shared" si="68"/>
        <v>0.5</v>
      </c>
      <c r="AT239" s="31">
        <f t="shared" si="68"/>
        <v>0.5</v>
      </c>
      <c r="AU239" s="31">
        <f t="shared" si="68"/>
        <v>0.5</v>
      </c>
      <c r="AV239" s="39">
        <f t="shared" si="68"/>
        <v>0.5</v>
      </c>
      <c r="AW239" s="31"/>
      <c r="AX239" s="31"/>
      <c r="AY239" s="31"/>
      <c r="AZ239" s="31"/>
      <c r="BA239" s="39"/>
      <c r="BB239" s="152">
        <f t="shared" si="58"/>
        <v>2</v>
      </c>
      <c r="BC239" s="43">
        <v>515746</v>
      </c>
      <c r="BD239" s="43">
        <v>173156</v>
      </c>
      <c r="BE239" t="s">
        <v>1424</v>
      </c>
      <c r="BF239"/>
      <c r="BG239" t="s">
        <v>1406</v>
      </c>
    </row>
    <row r="240" spans="1:66" ht="15" customHeight="1" x14ac:dyDescent="0.25">
      <c r="A240" s="56" t="s">
        <v>537</v>
      </c>
      <c r="B240" s="19" t="s">
        <v>20</v>
      </c>
      <c r="C240" s="56"/>
      <c r="D240" s="34">
        <v>43376</v>
      </c>
      <c r="E240" s="34">
        <v>44472</v>
      </c>
      <c r="F240" s="19"/>
      <c r="G240" s="19"/>
      <c r="H240" s="38" t="s">
        <v>1100</v>
      </c>
      <c r="I240" s="19" t="s">
        <v>1173</v>
      </c>
      <c r="J240" s="19"/>
      <c r="K240" s="56" t="s">
        <v>538</v>
      </c>
      <c r="L240" s="57" t="s">
        <v>1112</v>
      </c>
      <c r="M240" s="56" t="s">
        <v>539</v>
      </c>
      <c r="N240" s="56"/>
      <c r="O240" s="56"/>
      <c r="P240" s="56"/>
      <c r="Q240" s="56"/>
      <c r="R240" s="56"/>
      <c r="S240" s="56"/>
      <c r="T240" s="56"/>
      <c r="U240" s="56"/>
      <c r="V240" s="56">
        <f t="shared" si="67"/>
        <v>0</v>
      </c>
      <c r="W240" s="56"/>
      <c r="X240" s="56"/>
      <c r="Y240" s="56">
        <v>2</v>
      </c>
      <c r="Z240" s="56"/>
      <c r="AA240" s="56"/>
      <c r="AB240" s="56"/>
      <c r="AC240" s="56"/>
      <c r="AD240" s="56"/>
      <c r="AE240" s="56"/>
      <c r="AF240" s="56">
        <f t="shared" si="48"/>
        <v>2</v>
      </c>
      <c r="AG240" s="56">
        <f t="shared" si="49"/>
        <v>0</v>
      </c>
      <c r="AH240" s="56">
        <f t="shared" si="50"/>
        <v>2</v>
      </c>
      <c r="AI240" s="56">
        <f t="shared" si="51"/>
        <v>0</v>
      </c>
      <c r="AJ240" s="56">
        <f t="shared" si="52"/>
        <v>0</v>
      </c>
      <c r="AK240" s="56">
        <f t="shared" si="53"/>
        <v>0</v>
      </c>
      <c r="AL240" s="56">
        <f t="shared" si="54"/>
        <v>0</v>
      </c>
      <c r="AM240" s="56">
        <f t="shared" si="55"/>
        <v>0</v>
      </c>
      <c r="AN240" s="56">
        <f t="shared" si="56"/>
        <v>0</v>
      </c>
      <c r="AO240" s="58">
        <f t="shared" si="69"/>
        <v>2</v>
      </c>
      <c r="AP240" s="69"/>
      <c r="AQ240" s="40">
        <v>0</v>
      </c>
      <c r="AR240" s="40">
        <v>0</v>
      </c>
      <c r="AS240" s="31">
        <f t="shared" si="68"/>
        <v>0.5</v>
      </c>
      <c r="AT240" s="31">
        <f t="shared" si="68"/>
        <v>0.5</v>
      </c>
      <c r="AU240" s="31">
        <f t="shared" si="68"/>
        <v>0.5</v>
      </c>
      <c r="AV240" s="39">
        <f t="shared" si="68"/>
        <v>0.5</v>
      </c>
      <c r="AW240" s="31"/>
      <c r="AX240" s="31"/>
      <c r="AY240" s="31"/>
      <c r="AZ240" s="31"/>
      <c r="BA240" s="39"/>
      <c r="BB240" s="152">
        <f t="shared" si="58"/>
        <v>2</v>
      </c>
      <c r="BC240" s="43">
        <v>518028</v>
      </c>
      <c r="BD240" s="43">
        <v>175050</v>
      </c>
      <c r="BE240" t="s">
        <v>1423</v>
      </c>
      <c r="BF240"/>
      <c r="BG240" t="s">
        <v>1403</v>
      </c>
      <c r="BM240" t="s">
        <v>1545</v>
      </c>
      <c r="BN240" t="s">
        <v>1511</v>
      </c>
    </row>
    <row r="241" spans="1:66" ht="15" customHeight="1" x14ac:dyDescent="0.25">
      <c r="A241" s="56" t="s">
        <v>540</v>
      </c>
      <c r="B241" s="19" t="s">
        <v>31</v>
      </c>
      <c r="C241" s="56" t="s">
        <v>1203</v>
      </c>
      <c r="D241" s="34">
        <v>43097</v>
      </c>
      <c r="E241" s="34">
        <v>44193</v>
      </c>
      <c r="F241" s="19"/>
      <c r="G241" s="19"/>
      <c r="H241" s="38" t="s">
        <v>1100</v>
      </c>
      <c r="I241" s="19" t="s">
        <v>1173</v>
      </c>
      <c r="J241" s="19"/>
      <c r="K241" s="56" t="s">
        <v>541</v>
      </c>
      <c r="L241" s="57" t="s">
        <v>542</v>
      </c>
      <c r="M241" s="56" t="s">
        <v>338</v>
      </c>
      <c r="N241" s="56"/>
      <c r="O241" s="56"/>
      <c r="P241" s="56">
        <v>1</v>
      </c>
      <c r="Q241" s="56"/>
      <c r="R241" s="56"/>
      <c r="S241" s="56"/>
      <c r="T241" s="56"/>
      <c r="U241" s="56"/>
      <c r="V241" s="56">
        <f t="shared" si="67"/>
        <v>1</v>
      </c>
      <c r="W241" s="56"/>
      <c r="X241" s="56"/>
      <c r="Y241" s="56"/>
      <c r="Z241" s="56">
        <v>1</v>
      </c>
      <c r="AA241" s="56"/>
      <c r="AB241" s="56"/>
      <c r="AC241" s="56"/>
      <c r="AD241" s="56"/>
      <c r="AE241" s="56"/>
      <c r="AF241" s="56">
        <f t="shared" si="48"/>
        <v>1</v>
      </c>
      <c r="AG241" s="56">
        <f t="shared" si="49"/>
        <v>0</v>
      </c>
      <c r="AH241" s="56">
        <f t="shared" si="50"/>
        <v>0</v>
      </c>
      <c r="AI241" s="56">
        <f t="shared" si="51"/>
        <v>0</v>
      </c>
      <c r="AJ241" s="56">
        <f t="shared" si="52"/>
        <v>0</v>
      </c>
      <c r="AK241" s="56">
        <f t="shared" si="53"/>
        <v>0</v>
      </c>
      <c r="AL241" s="56">
        <f t="shared" si="54"/>
        <v>0</v>
      </c>
      <c r="AM241" s="56">
        <f t="shared" si="55"/>
        <v>0</v>
      </c>
      <c r="AN241" s="56">
        <f t="shared" si="56"/>
        <v>0</v>
      </c>
      <c r="AO241" s="58">
        <f t="shared" si="69"/>
        <v>0</v>
      </c>
      <c r="AP241" s="69"/>
      <c r="AQ241" s="40">
        <v>0</v>
      </c>
      <c r="AR241" s="40">
        <v>0</v>
      </c>
      <c r="AS241" s="31">
        <v>0</v>
      </c>
      <c r="AT241" s="31">
        <v>0</v>
      </c>
      <c r="AU241" s="31">
        <v>0</v>
      </c>
      <c r="AV241" s="39">
        <v>0</v>
      </c>
      <c r="AW241" s="31"/>
      <c r="AX241" s="31"/>
      <c r="AY241" s="31"/>
      <c r="AZ241" s="31"/>
      <c r="BA241" s="39"/>
      <c r="BB241" s="152">
        <f t="shared" si="58"/>
        <v>0</v>
      </c>
      <c r="BC241" s="43">
        <v>515625</v>
      </c>
      <c r="BD241" s="43">
        <v>170998</v>
      </c>
      <c r="BE241" t="s">
        <v>1405</v>
      </c>
      <c r="BF241"/>
      <c r="BG241" t="s">
        <v>1405</v>
      </c>
    </row>
    <row r="242" spans="1:66" ht="15" customHeight="1" x14ac:dyDescent="0.25">
      <c r="A242" s="56" t="s">
        <v>543</v>
      </c>
      <c r="B242" s="19" t="s">
        <v>20</v>
      </c>
      <c r="C242" s="56"/>
      <c r="D242" s="34">
        <v>43455</v>
      </c>
      <c r="E242" s="34">
        <v>44551</v>
      </c>
      <c r="F242" s="19"/>
      <c r="G242" s="19"/>
      <c r="H242" s="38" t="s">
        <v>1100</v>
      </c>
      <c r="I242" s="19" t="s">
        <v>1173</v>
      </c>
      <c r="J242" s="19"/>
      <c r="K242" s="56" t="s">
        <v>544</v>
      </c>
      <c r="L242" s="57" t="s">
        <v>1238</v>
      </c>
      <c r="M242" s="56" t="s">
        <v>545</v>
      </c>
      <c r="N242" s="56"/>
      <c r="O242" s="56"/>
      <c r="P242" s="56"/>
      <c r="Q242" s="56"/>
      <c r="R242" s="56"/>
      <c r="S242" s="56"/>
      <c r="T242" s="56"/>
      <c r="U242" s="56"/>
      <c r="V242" s="56">
        <f t="shared" si="67"/>
        <v>0</v>
      </c>
      <c r="W242" s="56"/>
      <c r="X242" s="56"/>
      <c r="Y242" s="56">
        <v>1</v>
      </c>
      <c r="Z242" s="56"/>
      <c r="AA242" s="56"/>
      <c r="AB242" s="56"/>
      <c r="AC242" s="56"/>
      <c r="AD242" s="56"/>
      <c r="AE242" s="56"/>
      <c r="AF242" s="56">
        <f t="shared" si="48"/>
        <v>1</v>
      </c>
      <c r="AG242" s="56">
        <f t="shared" si="49"/>
        <v>0</v>
      </c>
      <c r="AH242" s="56">
        <f t="shared" si="50"/>
        <v>1</v>
      </c>
      <c r="AI242" s="56">
        <f t="shared" si="51"/>
        <v>0</v>
      </c>
      <c r="AJ242" s="56">
        <f t="shared" si="52"/>
        <v>0</v>
      </c>
      <c r="AK242" s="56">
        <f t="shared" si="53"/>
        <v>0</v>
      </c>
      <c r="AL242" s="56">
        <f t="shared" si="54"/>
        <v>0</v>
      </c>
      <c r="AM242" s="56">
        <f t="shared" si="55"/>
        <v>0</v>
      </c>
      <c r="AN242" s="56">
        <f t="shared" si="56"/>
        <v>0</v>
      </c>
      <c r="AO242" s="58">
        <f t="shared" si="69"/>
        <v>1</v>
      </c>
      <c r="AP242" s="69"/>
      <c r="AQ242" s="40">
        <v>0</v>
      </c>
      <c r="AR242" s="40">
        <v>0</v>
      </c>
      <c r="AS242" s="44">
        <f t="shared" ref="AS242:AV247" si="70">$AO242/4</f>
        <v>0.25</v>
      </c>
      <c r="AT242" s="44">
        <f t="shared" si="70"/>
        <v>0.25</v>
      </c>
      <c r="AU242" s="44">
        <f t="shared" si="70"/>
        <v>0.25</v>
      </c>
      <c r="AV242" s="45">
        <f t="shared" si="70"/>
        <v>0.25</v>
      </c>
      <c r="AW242" s="44"/>
      <c r="AX242" s="44"/>
      <c r="AY242" s="44"/>
      <c r="AZ242" s="44"/>
      <c r="BA242" s="45"/>
      <c r="BB242" s="152">
        <f t="shared" si="58"/>
        <v>1</v>
      </c>
      <c r="BC242" s="43">
        <v>521350</v>
      </c>
      <c r="BD242" s="43">
        <v>176123</v>
      </c>
      <c r="BE242" t="s">
        <v>1459</v>
      </c>
      <c r="BF242"/>
      <c r="BH242" t="s">
        <v>1404</v>
      </c>
      <c r="BM242" t="s">
        <v>1545</v>
      </c>
      <c r="BN242" t="s">
        <v>1525</v>
      </c>
    </row>
    <row r="243" spans="1:66" ht="15" customHeight="1" x14ac:dyDescent="0.25">
      <c r="A243" s="56" t="s">
        <v>554</v>
      </c>
      <c r="B243" s="19" t="s">
        <v>43</v>
      </c>
      <c r="C243" s="56"/>
      <c r="D243" s="34">
        <v>43125</v>
      </c>
      <c r="E243" s="34">
        <v>44221</v>
      </c>
      <c r="F243" s="19"/>
      <c r="G243" s="19"/>
      <c r="H243" s="38" t="s">
        <v>1100</v>
      </c>
      <c r="I243" s="19" t="s">
        <v>1173</v>
      </c>
      <c r="J243" s="19"/>
      <c r="K243" s="56" t="s">
        <v>555</v>
      </c>
      <c r="L243" s="57" t="s">
        <v>556</v>
      </c>
      <c r="M243" s="56" t="s">
        <v>557</v>
      </c>
      <c r="N243" s="56"/>
      <c r="O243" s="56"/>
      <c r="P243" s="56"/>
      <c r="Q243" s="56"/>
      <c r="R243" s="56"/>
      <c r="S243" s="56"/>
      <c r="T243" s="56"/>
      <c r="U243" s="56"/>
      <c r="V243" s="56">
        <f t="shared" si="67"/>
        <v>0</v>
      </c>
      <c r="W243" s="56"/>
      <c r="X243" s="56">
        <v>1</v>
      </c>
      <c r="Y243" s="56">
        <v>2</v>
      </c>
      <c r="Z243" s="56"/>
      <c r="AA243" s="56"/>
      <c r="AB243" s="56"/>
      <c r="AC243" s="56"/>
      <c r="AD243" s="56"/>
      <c r="AE243" s="56"/>
      <c r="AF243" s="56">
        <f t="shared" si="48"/>
        <v>3</v>
      </c>
      <c r="AG243" s="56">
        <f t="shared" si="49"/>
        <v>1</v>
      </c>
      <c r="AH243" s="56">
        <f t="shared" si="50"/>
        <v>2</v>
      </c>
      <c r="AI243" s="56">
        <f t="shared" si="51"/>
        <v>0</v>
      </c>
      <c r="AJ243" s="56">
        <f t="shared" si="52"/>
        <v>0</v>
      </c>
      <c r="AK243" s="56">
        <f t="shared" si="53"/>
        <v>0</v>
      </c>
      <c r="AL243" s="56">
        <f t="shared" si="54"/>
        <v>0</v>
      </c>
      <c r="AM243" s="56">
        <f t="shared" si="55"/>
        <v>0</v>
      </c>
      <c r="AN243" s="56">
        <f t="shared" si="56"/>
        <v>0</v>
      </c>
      <c r="AO243" s="58">
        <f t="shared" si="69"/>
        <v>3</v>
      </c>
      <c r="AP243" s="69"/>
      <c r="AQ243" s="40">
        <v>0</v>
      </c>
      <c r="AR243" s="40">
        <v>0</v>
      </c>
      <c r="AS243" s="44">
        <f t="shared" si="70"/>
        <v>0.75</v>
      </c>
      <c r="AT243" s="44">
        <f t="shared" si="70"/>
        <v>0.75</v>
      </c>
      <c r="AU243" s="44">
        <f t="shared" si="70"/>
        <v>0.75</v>
      </c>
      <c r="AV243" s="45">
        <f t="shared" si="70"/>
        <v>0.75</v>
      </c>
      <c r="AW243" s="44"/>
      <c r="AX243" s="44"/>
      <c r="AY243" s="44"/>
      <c r="AZ243" s="44"/>
      <c r="BA243" s="45"/>
      <c r="BB243" s="152">
        <f t="shared" si="58"/>
        <v>3</v>
      </c>
      <c r="BC243" s="43">
        <v>518831</v>
      </c>
      <c r="BD243" s="43">
        <v>175436</v>
      </c>
      <c r="BE243" t="s">
        <v>1422</v>
      </c>
      <c r="BF243"/>
    </row>
    <row r="244" spans="1:66" ht="15" customHeight="1" x14ac:dyDescent="0.25">
      <c r="A244" s="56" t="s">
        <v>561</v>
      </c>
      <c r="B244" s="19" t="s">
        <v>31</v>
      </c>
      <c r="C244" s="56"/>
      <c r="D244" s="34">
        <v>43168</v>
      </c>
      <c r="E244" s="34">
        <v>44264</v>
      </c>
      <c r="F244" s="19"/>
      <c r="G244" s="19"/>
      <c r="H244" s="38" t="s">
        <v>1100</v>
      </c>
      <c r="I244" s="19" t="s">
        <v>1173</v>
      </c>
      <c r="J244" s="19"/>
      <c r="K244" s="56" t="s">
        <v>562</v>
      </c>
      <c r="L244" s="57" t="s">
        <v>563</v>
      </c>
      <c r="M244" s="56" t="s">
        <v>564</v>
      </c>
      <c r="N244" s="56"/>
      <c r="O244" s="56"/>
      <c r="P244" s="56"/>
      <c r="Q244" s="56"/>
      <c r="R244" s="56"/>
      <c r="S244" s="56"/>
      <c r="T244" s="56"/>
      <c r="U244" s="56"/>
      <c r="V244" s="56">
        <f t="shared" si="67"/>
        <v>0</v>
      </c>
      <c r="W244" s="56"/>
      <c r="X244" s="56"/>
      <c r="Y244" s="56">
        <v>1</v>
      </c>
      <c r="Z244" s="56"/>
      <c r="AA244" s="56"/>
      <c r="AB244" s="56"/>
      <c r="AC244" s="56"/>
      <c r="AD244" s="56"/>
      <c r="AE244" s="56"/>
      <c r="AF244" s="56">
        <f t="shared" si="48"/>
        <v>1</v>
      </c>
      <c r="AG244" s="56">
        <f t="shared" si="49"/>
        <v>0</v>
      </c>
      <c r="AH244" s="56">
        <f t="shared" si="50"/>
        <v>1</v>
      </c>
      <c r="AI244" s="56">
        <f t="shared" si="51"/>
        <v>0</v>
      </c>
      <c r="AJ244" s="56">
        <f t="shared" si="52"/>
        <v>0</v>
      </c>
      <c r="AK244" s="56">
        <f t="shared" si="53"/>
        <v>0</v>
      </c>
      <c r="AL244" s="56">
        <f t="shared" si="54"/>
        <v>0</v>
      </c>
      <c r="AM244" s="56">
        <f t="shared" si="55"/>
        <v>0</v>
      </c>
      <c r="AN244" s="56">
        <f t="shared" si="56"/>
        <v>0</v>
      </c>
      <c r="AO244" s="58">
        <f t="shared" si="69"/>
        <v>1</v>
      </c>
      <c r="AP244" s="69"/>
      <c r="AQ244" s="40">
        <v>0</v>
      </c>
      <c r="AR244" s="40">
        <v>0</v>
      </c>
      <c r="AS244" s="44">
        <f t="shared" si="70"/>
        <v>0.25</v>
      </c>
      <c r="AT244" s="44">
        <f t="shared" si="70"/>
        <v>0.25</v>
      </c>
      <c r="AU244" s="44">
        <f t="shared" si="70"/>
        <v>0.25</v>
      </c>
      <c r="AV244" s="45">
        <f t="shared" si="70"/>
        <v>0.25</v>
      </c>
      <c r="AW244" s="44"/>
      <c r="AX244" s="44"/>
      <c r="AY244" s="44"/>
      <c r="AZ244" s="44"/>
      <c r="BA244" s="45"/>
      <c r="BB244" s="152">
        <f t="shared" si="58"/>
        <v>1</v>
      </c>
      <c r="BC244" s="43">
        <v>517967</v>
      </c>
      <c r="BD244" s="43">
        <v>174947</v>
      </c>
      <c r="BE244" t="s">
        <v>1423</v>
      </c>
      <c r="BF244"/>
      <c r="BG244" t="s">
        <v>1403</v>
      </c>
      <c r="BM244" t="s">
        <v>1545</v>
      </c>
      <c r="BN244" t="s">
        <v>1511</v>
      </c>
    </row>
    <row r="245" spans="1:66" ht="15" customHeight="1" x14ac:dyDescent="0.25">
      <c r="A245" s="56" t="s">
        <v>569</v>
      </c>
      <c r="B245" s="19" t="s">
        <v>31</v>
      </c>
      <c r="C245" s="56" t="s">
        <v>1203</v>
      </c>
      <c r="D245" s="34">
        <v>43136</v>
      </c>
      <c r="E245" s="34">
        <v>44232</v>
      </c>
      <c r="F245" s="19"/>
      <c r="G245" s="19"/>
      <c r="H245" s="38" t="s">
        <v>1100</v>
      </c>
      <c r="I245" s="19" t="s">
        <v>1173</v>
      </c>
      <c r="J245" s="19"/>
      <c r="K245" s="56" t="s">
        <v>570</v>
      </c>
      <c r="L245" s="57" t="s">
        <v>528</v>
      </c>
      <c r="M245" s="56" t="s">
        <v>529</v>
      </c>
      <c r="N245" s="56"/>
      <c r="O245" s="56"/>
      <c r="P245" s="56"/>
      <c r="Q245" s="56"/>
      <c r="R245" s="56"/>
      <c r="S245" s="56"/>
      <c r="T245" s="56"/>
      <c r="U245" s="56"/>
      <c r="V245" s="56">
        <f t="shared" si="67"/>
        <v>0</v>
      </c>
      <c r="W245" s="56"/>
      <c r="X245" s="56"/>
      <c r="Y245" s="56">
        <v>1</v>
      </c>
      <c r="Z245" s="56"/>
      <c r="AA245" s="56"/>
      <c r="AB245" s="56"/>
      <c r="AC245" s="56"/>
      <c r="AD245" s="56"/>
      <c r="AE245" s="56"/>
      <c r="AF245" s="56">
        <f t="shared" si="48"/>
        <v>1</v>
      </c>
      <c r="AG245" s="56">
        <f t="shared" si="49"/>
        <v>0</v>
      </c>
      <c r="AH245" s="56">
        <f t="shared" si="50"/>
        <v>1</v>
      </c>
      <c r="AI245" s="56">
        <f t="shared" si="51"/>
        <v>0</v>
      </c>
      <c r="AJ245" s="56">
        <f t="shared" si="52"/>
        <v>0</v>
      </c>
      <c r="AK245" s="56">
        <f t="shared" si="53"/>
        <v>0</v>
      </c>
      <c r="AL245" s="56">
        <f t="shared" si="54"/>
        <v>0</v>
      </c>
      <c r="AM245" s="56">
        <f t="shared" si="55"/>
        <v>0</v>
      </c>
      <c r="AN245" s="56">
        <f t="shared" si="56"/>
        <v>0</v>
      </c>
      <c r="AO245" s="58">
        <f t="shared" si="69"/>
        <v>1</v>
      </c>
      <c r="AP245" s="69"/>
      <c r="AQ245" s="40">
        <v>0</v>
      </c>
      <c r="AR245" s="40">
        <v>0</v>
      </c>
      <c r="AS245" s="44">
        <f t="shared" si="70"/>
        <v>0.25</v>
      </c>
      <c r="AT245" s="44">
        <f t="shared" si="70"/>
        <v>0.25</v>
      </c>
      <c r="AU245" s="44">
        <f t="shared" si="70"/>
        <v>0.25</v>
      </c>
      <c r="AV245" s="45">
        <f t="shared" si="70"/>
        <v>0.25</v>
      </c>
      <c r="AW245" s="44"/>
      <c r="AX245" s="44"/>
      <c r="AY245" s="44"/>
      <c r="AZ245" s="44"/>
      <c r="BA245" s="45"/>
      <c r="BB245" s="152">
        <f t="shared" si="58"/>
        <v>1</v>
      </c>
      <c r="BC245" s="43">
        <v>515664</v>
      </c>
      <c r="BD245" s="43">
        <v>171121</v>
      </c>
      <c r="BE245" t="s">
        <v>1405</v>
      </c>
      <c r="BF245"/>
    </row>
    <row r="246" spans="1:66" ht="15" customHeight="1" x14ac:dyDescent="0.25">
      <c r="A246" s="56" t="s">
        <v>571</v>
      </c>
      <c r="B246" s="19" t="s">
        <v>48</v>
      </c>
      <c r="C246" s="56"/>
      <c r="D246" s="34">
        <v>43230</v>
      </c>
      <c r="E246" s="34">
        <v>44326</v>
      </c>
      <c r="F246" s="19"/>
      <c r="G246" s="19"/>
      <c r="H246" s="38" t="s">
        <v>1100</v>
      </c>
      <c r="I246" s="19" t="s">
        <v>1173</v>
      </c>
      <c r="J246" s="19"/>
      <c r="K246" s="56" t="s">
        <v>572</v>
      </c>
      <c r="L246" s="57" t="s">
        <v>573</v>
      </c>
      <c r="M246" s="56" t="s">
        <v>574</v>
      </c>
      <c r="N246" s="56"/>
      <c r="O246" s="56"/>
      <c r="P246" s="56"/>
      <c r="Q246" s="56"/>
      <c r="R246" s="56"/>
      <c r="S246" s="56"/>
      <c r="T246" s="56"/>
      <c r="U246" s="56"/>
      <c r="V246" s="56">
        <f t="shared" si="67"/>
        <v>0</v>
      </c>
      <c r="W246" s="56"/>
      <c r="X246" s="56">
        <v>1</v>
      </c>
      <c r="Y246" s="56"/>
      <c r="Z246" s="56"/>
      <c r="AA246" s="56"/>
      <c r="AB246" s="56"/>
      <c r="AC246" s="56"/>
      <c r="AD246" s="56"/>
      <c r="AE246" s="56"/>
      <c r="AF246" s="56">
        <f t="shared" si="48"/>
        <v>1</v>
      </c>
      <c r="AG246" s="56">
        <f t="shared" si="49"/>
        <v>1</v>
      </c>
      <c r="AH246" s="56">
        <f t="shared" si="50"/>
        <v>0</v>
      </c>
      <c r="AI246" s="56">
        <f t="shared" si="51"/>
        <v>0</v>
      </c>
      <c r="AJ246" s="56">
        <f t="shared" si="52"/>
        <v>0</v>
      </c>
      <c r="AK246" s="56">
        <f t="shared" si="53"/>
        <v>0</v>
      </c>
      <c r="AL246" s="56">
        <f t="shared" si="54"/>
        <v>0</v>
      </c>
      <c r="AM246" s="56">
        <f t="shared" si="55"/>
        <v>0</v>
      </c>
      <c r="AN246" s="56">
        <f t="shared" si="56"/>
        <v>0</v>
      </c>
      <c r="AO246" s="58">
        <f t="shared" si="69"/>
        <v>1</v>
      </c>
      <c r="AP246" s="69"/>
      <c r="AQ246" s="40">
        <v>0</v>
      </c>
      <c r="AR246" s="40">
        <v>0</v>
      </c>
      <c r="AS246" s="44">
        <f t="shared" si="70"/>
        <v>0.25</v>
      </c>
      <c r="AT246" s="44">
        <f t="shared" si="70"/>
        <v>0.25</v>
      </c>
      <c r="AU246" s="44">
        <f t="shared" si="70"/>
        <v>0.25</v>
      </c>
      <c r="AV246" s="45">
        <f t="shared" si="70"/>
        <v>0.25</v>
      </c>
      <c r="AW246" s="44"/>
      <c r="AX246" s="44"/>
      <c r="AY246" s="44"/>
      <c r="AZ246" s="44"/>
      <c r="BA246" s="45"/>
      <c r="BB246" s="152">
        <f t="shared" si="58"/>
        <v>1</v>
      </c>
      <c r="BC246" s="43">
        <v>518955</v>
      </c>
      <c r="BD246" s="43">
        <v>177124</v>
      </c>
      <c r="BE246" t="s">
        <v>1420</v>
      </c>
      <c r="BF246"/>
      <c r="BM246" t="s">
        <v>1545</v>
      </c>
      <c r="BN246" t="s">
        <v>1524</v>
      </c>
    </row>
    <row r="247" spans="1:66" ht="15" customHeight="1" x14ac:dyDescent="0.25">
      <c r="A247" s="56" t="s">
        <v>575</v>
      </c>
      <c r="B247" s="19" t="s">
        <v>38</v>
      </c>
      <c r="C247" s="56"/>
      <c r="D247" s="34">
        <v>43608</v>
      </c>
      <c r="E247" s="34">
        <v>44704</v>
      </c>
      <c r="F247" s="19"/>
      <c r="G247" s="19"/>
      <c r="H247" s="38" t="s">
        <v>1100</v>
      </c>
      <c r="I247" s="19" t="s">
        <v>1173</v>
      </c>
      <c r="J247" s="19"/>
      <c r="K247" s="56" t="s">
        <v>576</v>
      </c>
      <c r="L247" s="57" t="s">
        <v>577</v>
      </c>
      <c r="M247" s="56" t="s">
        <v>578</v>
      </c>
      <c r="N247" s="56"/>
      <c r="O247" s="56"/>
      <c r="P247" s="56">
        <v>2</v>
      </c>
      <c r="Q247" s="56"/>
      <c r="R247" s="56"/>
      <c r="S247" s="56"/>
      <c r="T247" s="56"/>
      <c r="U247" s="56"/>
      <c r="V247" s="56">
        <f t="shared" si="67"/>
        <v>2</v>
      </c>
      <c r="W247" s="56"/>
      <c r="X247" s="56"/>
      <c r="Y247" s="56"/>
      <c r="Z247" s="56"/>
      <c r="AA247" s="56"/>
      <c r="AB247" s="56">
        <v>1</v>
      </c>
      <c r="AC247" s="56"/>
      <c r="AD247" s="56"/>
      <c r="AE247" s="56"/>
      <c r="AF247" s="56">
        <f t="shared" si="48"/>
        <v>1</v>
      </c>
      <c r="AG247" s="56">
        <f t="shared" si="49"/>
        <v>0</v>
      </c>
      <c r="AH247" s="56">
        <f t="shared" si="50"/>
        <v>0</v>
      </c>
      <c r="AI247" s="56">
        <f t="shared" si="51"/>
        <v>-2</v>
      </c>
      <c r="AJ247" s="56">
        <f t="shared" si="52"/>
        <v>0</v>
      </c>
      <c r="AK247" s="56">
        <f t="shared" si="53"/>
        <v>1</v>
      </c>
      <c r="AL247" s="56">
        <f t="shared" si="54"/>
        <v>0</v>
      </c>
      <c r="AM247" s="56">
        <f t="shared" si="55"/>
        <v>0</v>
      </c>
      <c r="AN247" s="56">
        <f t="shared" si="56"/>
        <v>0</v>
      </c>
      <c r="AO247" s="58">
        <f t="shared" si="69"/>
        <v>-1</v>
      </c>
      <c r="AP247" s="69"/>
      <c r="AQ247" s="40">
        <v>0</v>
      </c>
      <c r="AR247" s="40">
        <v>0</v>
      </c>
      <c r="AS247" s="44">
        <f t="shared" si="70"/>
        <v>-0.25</v>
      </c>
      <c r="AT247" s="44">
        <f t="shared" si="70"/>
        <v>-0.25</v>
      </c>
      <c r="AU247" s="44">
        <f t="shared" si="70"/>
        <v>-0.25</v>
      </c>
      <c r="AV247" s="45">
        <f t="shared" si="70"/>
        <v>-0.25</v>
      </c>
      <c r="AW247" s="44"/>
      <c r="AX247" s="44"/>
      <c r="AY247" s="44"/>
      <c r="AZ247" s="44"/>
      <c r="BA247" s="45"/>
      <c r="BB247" s="152">
        <f t="shared" si="58"/>
        <v>-1</v>
      </c>
      <c r="BC247" s="43">
        <v>518418</v>
      </c>
      <c r="BD247" s="43">
        <v>174325</v>
      </c>
      <c r="BE247" t="s">
        <v>1423</v>
      </c>
      <c r="BF247"/>
      <c r="BM247" t="s">
        <v>1545</v>
      </c>
      <c r="BN247" t="s">
        <v>1493</v>
      </c>
    </row>
    <row r="248" spans="1:66" ht="15" customHeight="1" x14ac:dyDescent="0.25">
      <c r="A248" s="56" t="s">
        <v>594</v>
      </c>
      <c r="B248" s="19" t="s">
        <v>20</v>
      </c>
      <c r="C248" s="56"/>
      <c r="D248" s="34">
        <v>43251</v>
      </c>
      <c r="E248" s="34">
        <v>44347</v>
      </c>
      <c r="F248" s="19"/>
      <c r="G248" s="19"/>
      <c r="H248" s="38" t="s">
        <v>1100</v>
      </c>
      <c r="I248" s="19" t="s">
        <v>1173</v>
      </c>
      <c r="J248" s="19"/>
      <c r="K248" s="56" t="s">
        <v>595</v>
      </c>
      <c r="L248" s="57" t="s">
        <v>596</v>
      </c>
      <c r="M248" s="56" t="s">
        <v>597</v>
      </c>
      <c r="N248" s="56"/>
      <c r="O248" s="56"/>
      <c r="P248" s="56"/>
      <c r="Q248" s="56">
        <v>1</v>
      </c>
      <c r="R248" s="56"/>
      <c r="S248" s="56"/>
      <c r="T248" s="56"/>
      <c r="U248" s="56"/>
      <c r="V248" s="56">
        <f t="shared" si="67"/>
        <v>1</v>
      </c>
      <c r="W248" s="56"/>
      <c r="X248" s="56"/>
      <c r="Y248" s="56"/>
      <c r="Z248" s="56"/>
      <c r="AA248" s="56">
        <v>1</v>
      </c>
      <c r="AB248" s="56"/>
      <c r="AC248" s="56"/>
      <c r="AD248" s="56"/>
      <c r="AE248" s="56"/>
      <c r="AF248" s="56">
        <f t="shared" si="48"/>
        <v>1</v>
      </c>
      <c r="AG248" s="56">
        <f t="shared" si="49"/>
        <v>0</v>
      </c>
      <c r="AH248" s="56">
        <f t="shared" si="50"/>
        <v>0</v>
      </c>
      <c r="AI248" s="56">
        <f t="shared" si="51"/>
        <v>0</v>
      </c>
      <c r="AJ248" s="56">
        <f t="shared" si="52"/>
        <v>0</v>
      </c>
      <c r="AK248" s="56">
        <f t="shared" si="53"/>
        <v>0</v>
      </c>
      <c r="AL248" s="56">
        <f t="shared" si="54"/>
        <v>0</v>
      </c>
      <c r="AM248" s="56">
        <f t="shared" si="55"/>
        <v>0</v>
      </c>
      <c r="AN248" s="56">
        <f t="shared" si="56"/>
        <v>0</v>
      </c>
      <c r="AO248" s="58">
        <f t="shared" si="69"/>
        <v>0</v>
      </c>
      <c r="AP248" s="69"/>
      <c r="AQ248" s="40">
        <v>0</v>
      </c>
      <c r="AR248" s="40">
        <v>0</v>
      </c>
      <c r="AS248" s="31">
        <v>0</v>
      </c>
      <c r="AT248" s="31">
        <v>0</v>
      </c>
      <c r="AU248" s="31">
        <v>0</v>
      </c>
      <c r="AV248" s="39">
        <v>0</v>
      </c>
      <c r="AW248" s="31"/>
      <c r="AX248" s="31"/>
      <c r="AY248" s="31"/>
      <c r="AZ248" s="31"/>
      <c r="BA248" s="39"/>
      <c r="BB248" s="152">
        <f t="shared" si="58"/>
        <v>0</v>
      </c>
      <c r="BC248" s="43">
        <v>514952</v>
      </c>
      <c r="BD248" s="43">
        <v>171606</v>
      </c>
      <c r="BE248" t="s">
        <v>1458</v>
      </c>
      <c r="BF248"/>
    </row>
    <row r="249" spans="1:66" ht="15" customHeight="1" x14ac:dyDescent="0.25">
      <c r="A249" s="56" t="s">
        <v>602</v>
      </c>
      <c r="B249" s="19" t="s">
        <v>20</v>
      </c>
      <c r="C249" s="56"/>
      <c r="D249" s="34">
        <v>43452</v>
      </c>
      <c r="E249" s="34">
        <v>44548</v>
      </c>
      <c r="F249" s="19"/>
      <c r="G249" s="19"/>
      <c r="H249" s="38" t="s">
        <v>1100</v>
      </c>
      <c r="I249" s="19" t="s">
        <v>1173</v>
      </c>
      <c r="J249" s="19"/>
      <c r="K249" s="56" t="s">
        <v>603</v>
      </c>
      <c r="L249" s="57" t="s">
        <v>604</v>
      </c>
      <c r="M249" s="56" t="s">
        <v>605</v>
      </c>
      <c r="N249" s="56"/>
      <c r="O249" s="56"/>
      <c r="P249" s="56"/>
      <c r="Q249" s="56">
        <v>1</v>
      </c>
      <c r="R249" s="56"/>
      <c r="S249" s="56"/>
      <c r="T249" s="56"/>
      <c r="U249" s="56"/>
      <c r="V249" s="56">
        <f t="shared" si="67"/>
        <v>1</v>
      </c>
      <c r="W249" s="56"/>
      <c r="X249" s="56"/>
      <c r="Y249" s="56"/>
      <c r="Z249" s="56"/>
      <c r="AA249" s="56"/>
      <c r="AB249" s="56"/>
      <c r="AC249" s="56">
        <v>1</v>
      </c>
      <c r="AD249" s="56"/>
      <c r="AE249" s="56"/>
      <c r="AF249" s="56">
        <f t="shared" si="48"/>
        <v>1</v>
      </c>
      <c r="AG249" s="56">
        <f t="shared" si="49"/>
        <v>0</v>
      </c>
      <c r="AH249" s="56">
        <f t="shared" si="50"/>
        <v>0</v>
      </c>
      <c r="AI249" s="56">
        <f t="shared" si="51"/>
        <v>0</v>
      </c>
      <c r="AJ249" s="56">
        <f t="shared" si="52"/>
        <v>-1</v>
      </c>
      <c r="AK249" s="56">
        <f t="shared" si="53"/>
        <v>0</v>
      </c>
      <c r="AL249" s="56">
        <f t="shared" si="54"/>
        <v>1</v>
      </c>
      <c r="AM249" s="56">
        <f t="shared" si="55"/>
        <v>0</v>
      </c>
      <c r="AN249" s="56">
        <f t="shared" si="56"/>
        <v>0</v>
      </c>
      <c r="AO249" s="58">
        <f t="shared" si="69"/>
        <v>0</v>
      </c>
      <c r="AP249" s="69"/>
      <c r="AQ249" s="40">
        <v>0</v>
      </c>
      <c r="AR249" s="40">
        <v>0</v>
      </c>
      <c r="AS249" s="31">
        <v>0</v>
      </c>
      <c r="AT249" s="31">
        <v>0</v>
      </c>
      <c r="AU249" s="31">
        <v>0</v>
      </c>
      <c r="AV249" s="39">
        <v>0</v>
      </c>
      <c r="AW249" s="31"/>
      <c r="AX249" s="31"/>
      <c r="AY249" s="31"/>
      <c r="AZ249" s="31"/>
      <c r="BA249" s="39"/>
      <c r="BB249" s="152">
        <f t="shared" si="58"/>
        <v>0</v>
      </c>
      <c r="BC249" s="43">
        <v>518177</v>
      </c>
      <c r="BD249" s="43">
        <v>173103</v>
      </c>
      <c r="BE249" t="s">
        <v>1487</v>
      </c>
      <c r="BF249"/>
    </row>
    <row r="250" spans="1:66" ht="15" customHeight="1" x14ac:dyDescent="0.25">
      <c r="A250" s="56" t="s">
        <v>606</v>
      </c>
      <c r="B250" s="19" t="s">
        <v>20</v>
      </c>
      <c r="C250" s="56"/>
      <c r="D250" s="34">
        <v>43636</v>
      </c>
      <c r="E250" s="34">
        <v>44732</v>
      </c>
      <c r="F250" s="19"/>
      <c r="G250" s="19"/>
      <c r="H250" s="38" t="s">
        <v>1100</v>
      </c>
      <c r="I250" s="19" t="s">
        <v>1173</v>
      </c>
      <c r="J250" s="19"/>
      <c r="K250" s="56" t="s">
        <v>607</v>
      </c>
      <c r="L250" s="57" t="s">
        <v>608</v>
      </c>
      <c r="M250" s="56" t="s">
        <v>609</v>
      </c>
      <c r="N250" s="56"/>
      <c r="O250" s="56"/>
      <c r="P250" s="56">
        <v>1</v>
      </c>
      <c r="Q250" s="56"/>
      <c r="R250" s="56"/>
      <c r="S250" s="56"/>
      <c r="T250" s="56"/>
      <c r="U250" s="56"/>
      <c r="V250" s="56">
        <f t="shared" si="67"/>
        <v>1</v>
      </c>
      <c r="W250" s="56"/>
      <c r="X250" s="56"/>
      <c r="Y250" s="56">
        <v>1</v>
      </c>
      <c r="Z250" s="56">
        <v>1</v>
      </c>
      <c r="AA250" s="56">
        <v>3</v>
      </c>
      <c r="AB250" s="56"/>
      <c r="AC250" s="56"/>
      <c r="AD250" s="56"/>
      <c r="AE250" s="56"/>
      <c r="AF250" s="56">
        <f t="shared" si="48"/>
        <v>5</v>
      </c>
      <c r="AG250" s="56">
        <f t="shared" si="49"/>
        <v>0</v>
      </c>
      <c r="AH250" s="56">
        <f t="shared" si="50"/>
        <v>1</v>
      </c>
      <c r="AI250" s="56">
        <f t="shared" si="51"/>
        <v>0</v>
      </c>
      <c r="AJ250" s="56">
        <f t="shared" si="52"/>
        <v>3</v>
      </c>
      <c r="AK250" s="56">
        <f t="shared" si="53"/>
        <v>0</v>
      </c>
      <c r="AL250" s="56">
        <f t="shared" si="54"/>
        <v>0</v>
      </c>
      <c r="AM250" s="56">
        <f t="shared" si="55"/>
        <v>0</v>
      </c>
      <c r="AN250" s="56">
        <f t="shared" si="56"/>
        <v>0</v>
      </c>
      <c r="AO250" s="58">
        <f t="shared" si="69"/>
        <v>4</v>
      </c>
      <c r="AP250" s="69"/>
      <c r="AQ250" s="40">
        <v>0</v>
      </c>
      <c r="AR250" s="40">
        <v>0</v>
      </c>
      <c r="AS250" s="31">
        <f t="shared" ref="AS250:AV251" si="71">$AO250/4</f>
        <v>1</v>
      </c>
      <c r="AT250" s="31">
        <f t="shared" si="71"/>
        <v>1</v>
      </c>
      <c r="AU250" s="31">
        <f t="shared" si="71"/>
        <v>1</v>
      </c>
      <c r="AV250" s="39">
        <f t="shared" si="71"/>
        <v>1</v>
      </c>
      <c r="AW250" s="31"/>
      <c r="AX250" s="31"/>
      <c r="AY250" s="31"/>
      <c r="AZ250" s="31"/>
      <c r="BA250" s="39"/>
      <c r="BB250" s="152">
        <f t="shared" si="58"/>
        <v>4</v>
      </c>
      <c r="BC250" s="43">
        <v>512966</v>
      </c>
      <c r="BD250" s="43">
        <v>170724</v>
      </c>
      <c r="BE250" t="s">
        <v>1416</v>
      </c>
      <c r="BF250"/>
    </row>
    <row r="251" spans="1:66" ht="15" customHeight="1" x14ac:dyDescent="0.25">
      <c r="A251" s="56" t="s">
        <v>622</v>
      </c>
      <c r="B251" s="19" t="s">
        <v>31</v>
      </c>
      <c r="C251" s="56" t="s">
        <v>1203</v>
      </c>
      <c r="D251" s="34">
        <v>43207</v>
      </c>
      <c r="E251" s="34">
        <v>44333</v>
      </c>
      <c r="F251" s="19"/>
      <c r="G251" s="19"/>
      <c r="H251" s="38" t="s">
        <v>1100</v>
      </c>
      <c r="I251" s="19" t="s">
        <v>1173</v>
      </c>
      <c r="J251" s="19"/>
      <c r="K251" s="56" t="s">
        <v>623</v>
      </c>
      <c r="L251" s="57" t="s">
        <v>624</v>
      </c>
      <c r="M251" s="56" t="s">
        <v>625</v>
      </c>
      <c r="N251" s="56"/>
      <c r="O251" s="56"/>
      <c r="P251" s="56"/>
      <c r="Q251" s="56"/>
      <c r="R251" s="56"/>
      <c r="S251" s="56"/>
      <c r="T251" s="56"/>
      <c r="U251" s="56"/>
      <c r="V251" s="56">
        <f t="shared" si="67"/>
        <v>0</v>
      </c>
      <c r="W251" s="56"/>
      <c r="X251" s="56"/>
      <c r="Y251" s="56">
        <v>2</v>
      </c>
      <c r="Z251" s="56"/>
      <c r="AA251" s="56"/>
      <c r="AB251" s="56"/>
      <c r="AC251" s="56"/>
      <c r="AD251" s="56"/>
      <c r="AE251" s="56"/>
      <c r="AF251" s="56">
        <f t="shared" si="48"/>
        <v>2</v>
      </c>
      <c r="AG251" s="56">
        <f t="shared" si="49"/>
        <v>0</v>
      </c>
      <c r="AH251" s="56">
        <f t="shared" si="50"/>
        <v>2</v>
      </c>
      <c r="AI251" s="56">
        <f t="shared" si="51"/>
        <v>0</v>
      </c>
      <c r="AJ251" s="56">
        <f t="shared" si="52"/>
        <v>0</v>
      </c>
      <c r="AK251" s="56">
        <f t="shared" si="53"/>
        <v>0</v>
      </c>
      <c r="AL251" s="56">
        <f t="shared" si="54"/>
        <v>0</v>
      </c>
      <c r="AM251" s="56">
        <f t="shared" si="55"/>
        <v>0</v>
      </c>
      <c r="AN251" s="56">
        <f t="shared" si="56"/>
        <v>0</v>
      </c>
      <c r="AO251" s="58">
        <f t="shared" si="69"/>
        <v>2</v>
      </c>
      <c r="AP251" s="69"/>
      <c r="AQ251" s="40">
        <v>0</v>
      </c>
      <c r="AR251" s="40">
        <v>0</v>
      </c>
      <c r="AS251" s="31">
        <f t="shared" si="71"/>
        <v>0.5</v>
      </c>
      <c r="AT251" s="31">
        <f t="shared" si="71"/>
        <v>0.5</v>
      </c>
      <c r="AU251" s="31">
        <f t="shared" si="71"/>
        <v>0.5</v>
      </c>
      <c r="AV251" s="39">
        <f t="shared" si="71"/>
        <v>0.5</v>
      </c>
      <c r="AW251" s="31"/>
      <c r="AX251" s="31"/>
      <c r="AY251" s="31"/>
      <c r="AZ251" s="31"/>
      <c r="BA251" s="39"/>
      <c r="BB251" s="152">
        <f t="shared" si="58"/>
        <v>2</v>
      </c>
      <c r="BC251" s="43">
        <v>514188</v>
      </c>
      <c r="BD251" s="43">
        <v>170550</v>
      </c>
      <c r="BE251" t="s">
        <v>1458</v>
      </c>
      <c r="BF251"/>
      <c r="BM251" t="s">
        <v>1545</v>
      </c>
      <c r="BN251" t="s">
        <v>1504</v>
      </c>
    </row>
    <row r="252" spans="1:66" ht="15" customHeight="1" x14ac:dyDescent="0.25">
      <c r="A252" s="56" t="s">
        <v>634</v>
      </c>
      <c r="B252" s="19" t="s">
        <v>20</v>
      </c>
      <c r="C252" s="56"/>
      <c r="D252" s="34">
        <v>43377</v>
      </c>
      <c r="E252" s="34">
        <v>44473</v>
      </c>
      <c r="F252" s="105">
        <v>44005</v>
      </c>
      <c r="G252" s="19"/>
      <c r="H252" s="38" t="s">
        <v>1100</v>
      </c>
      <c r="I252" s="19" t="s">
        <v>1173</v>
      </c>
      <c r="J252" s="19"/>
      <c r="K252" s="56" t="s">
        <v>635</v>
      </c>
      <c r="L252" s="57" t="s">
        <v>636</v>
      </c>
      <c r="M252" s="56" t="s">
        <v>637</v>
      </c>
      <c r="N252" s="56"/>
      <c r="O252" s="56"/>
      <c r="P252" s="56"/>
      <c r="Q252" s="56">
        <v>1</v>
      </c>
      <c r="R252" s="56"/>
      <c r="S252" s="56"/>
      <c r="T252" s="56"/>
      <c r="U252" s="56"/>
      <c r="V252" s="56">
        <f t="shared" si="67"/>
        <v>1</v>
      </c>
      <c r="W252" s="56"/>
      <c r="X252" s="56"/>
      <c r="Y252" s="56"/>
      <c r="Z252" s="56"/>
      <c r="AA252" s="56">
        <v>1</v>
      </c>
      <c r="AB252" s="56"/>
      <c r="AC252" s="56"/>
      <c r="AD252" s="56"/>
      <c r="AE252" s="56"/>
      <c r="AF252" s="56">
        <f t="shared" si="48"/>
        <v>1</v>
      </c>
      <c r="AG252" s="56">
        <f t="shared" si="49"/>
        <v>0</v>
      </c>
      <c r="AH252" s="56">
        <f t="shared" si="50"/>
        <v>0</v>
      </c>
      <c r="AI252" s="56">
        <f t="shared" si="51"/>
        <v>0</v>
      </c>
      <c r="AJ252" s="56">
        <f t="shared" si="52"/>
        <v>0</v>
      </c>
      <c r="AK252" s="56">
        <f t="shared" si="53"/>
        <v>0</v>
      </c>
      <c r="AL252" s="56">
        <f t="shared" si="54"/>
        <v>0</v>
      </c>
      <c r="AM252" s="56">
        <f t="shared" si="55"/>
        <v>0</v>
      </c>
      <c r="AN252" s="56">
        <f t="shared" si="56"/>
        <v>0</v>
      </c>
      <c r="AO252" s="58">
        <f t="shared" si="69"/>
        <v>0</v>
      </c>
      <c r="AP252" s="69"/>
      <c r="AQ252" s="40">
        <v>0</v>
      </c>
      <c r="AR252" s="40">
        <v>0</v>
      </c>
      <c r="AS252" s="31">
        <v>0</v>
      </c>
      <c r="AT252" s="31">
        <v>0</v>
      </c>
      <c r="AU252" s="31">
        <v>0</v>
      </c>
      <c r="AV252" s="39">
        <v>0</v>
      </c>
      <c r="AW252" s="31"/>
      <c r="AX252" s="31"/>
      <c r="AY252" s="31"/>
      <c r="AZ252" s="31"/>
      <c r="BA252" s="39"/>
      <c r="BB252" s="152">
        <f t="shared" si="58"/>
        <v>0</v>
      </c>
      <c r="BC252" s="43">
        <v>518695</v>
      </c>
      <c r="BD252" s="43">
        <v>174476</v>
      </c>
      <c r="BE252" t="s">
        <v>1423</v>
      </c>
      <c r="BF252"/>
    </row>
    <row r="253" spans="1:66" ht="15" customHeight="1" x14ac:dyDescent="0.25">
      <c r="A253" s="56" t="s">
        <v>656</v>
      </c>
      <c r="B253" s="19" t="s">
        <v>43</v>
      </c>
      <c r="C253" s="56"/>
      <c r="D253" s="34">
        <v>43409</v>
      </c>
      <c r="E253" s="34">
        <v>44506</v>
      </c>
      <c r="F253" s="19"/>
      <c r="G253" s="19"/>
      <c r="H253" s="33" t="s">
        <v>1100</v>
      </c>
      <c r="I253" s="19" t="s">
        <v>1173</v>
      </c>
      <c r="J253" s="19"/>
      <c r="K253" s="56" t="s">
        <v>657</v>
      </c>
      <c r="L253" s="57" t="s">
        <v>658</v>
      </c>
      <c r="M253" s="56" t="s">
        <v>659</v>
      </c>
      <c r="N253" s="56"/>
      <c r="O253" s="56"/>
      <c r="P253" s="56">
        <v>1</v>
      </c>
      <c r="Q253" s="56"/>
      <c r="R253" s="56"/>
      <c r="S253" s="56"/>
      <c r="T253" s="56"/>
      <c r="U253" s="56"/>
      <c r="V253" s="56">
        <f t="shared" si="67"/>
        <v>1</v>
      </c>
      <c r="W253" s="56"/>
      <c r="X253" s="56">
        <v>5</v>
      </c>
      <c r="Y253" s="56"/>
      <c r="Z253" s="56"/>
      <c r="AA253" s="56"/>
      <c r="AB253" s="56"/>
      <c r="AC253" s="56"/>
      <c r="AD253" s="56"/>
      <c r="AE253" s="56"/>
      <c r="AF253" s="56">
        <f t="shared" si="48"/>
        <v>5</v>
      </c>
      <c r="AG253" s="56">
        <f t="shared" si="49"/>
        <v>5</v>
      </c>
      <c r="AH253" s="56">
        <f t="shared" si="50"/>
        <v>0</v>
      </c>
      <c r="AI253" s="56">
        <f t="shared" si="51"/>
        <v>-1</v>
      </c>
      <c r="AJ253" s="56">
        <f t="shared" si="52"/>
        <v>0</v>
      </c>
      <c r="AK253" s="56">
        <f t="shared" si="53"/>
        <v>0</v>
      </c>
      <c r="AL253" s="56">
        <f t="shared" si="54"/>
        <v>0</v>
      </c>
      <c r="AM253" s="56">
        <f t="shared" si="55"/>
        <v>0</v>
      </c>
      <c r="AN253" s="56">
        <f t="shared" si="56"/>
        <v>0</v>
      </c>
      <c r="AO253" s="58">
        <f t="shared" si="69"/>
        <v>4</v>
      </c>
      <c r="AP253" s="69"/>
      <c r="AQ253" s="40">
        <v>0</v>
      </c>
      <c r="AR253" s="40">
        <v>0</v>
      </c>
      <c r="AS253" s="31">
        <f t="shared" ref="AS253:AV259" si="72">$AO253/4</f>
        <v>1</v>
      </c>
      <c r="AT253" s="31">
        <f t="shared" si="72"/>
        <v>1</v>
      </c>
      <c r="AU253" s="31">
        <f t="shared" si="72"/>
        <v>1</v>
      </c>
      <c r="AV253" s="39">
        <f t="shared" si="72"/>
        <v>1</v>
      </c>
      <c r="AW253" s="31"/>
      <c r="AX253" s="31"/>
      <c r="AY253" s="31"/>
      <c r="AZ253" s="31"/>
      <c r="BA253" s="39"/>
      <c r="BB253" s="152">
        <f t="shared" si="58"/>
        <v>4</v>
      </c>
      <c r="BC253" s="43">
        <v>519849</v>
      </c>
      <c r="BD253" s="43">
        <v>175357</v>
      </c>
      <c r="BE253" t="s">
        <v>1422</v>
      </c>
      <c r="BF253"/>
    </row>
    <row r="254" spans="1:66" ht="15" customHeight="1" x14ac:dyDescent="0.25">
      <c r="A254" s="56" t="s">
        <v>668</v>
      </c>
      <c r="B254" s="19" t="s">
        <v>38</v>
      </c>
      <c r="C254" s="56"/>
      <c r="D254" s="34">
        <v>43431</v>
      </c>
      <c r="E254" s="34">
        <v>44527</v>
      </c>
      <c r="F254" s="19"/>
      <c r="G254" s="19"/>
      <c r="H254" s="33" t="s">
        <v>1100</v>
      </c>
      <c r="I254" s="19" t="s">
        <v>1173</v>
      </c>
      <c r="J254" s="19"/>
      <c r="K254" s="56" t="s">
        <v>669</v>
      </c>
      <c r="L254" s="57" t="s">
        <v>670</v>
      </c>
      <c r="M254" s="56" t="s">
        <v>251</v>
      </c>
      <c r="N254" s="56">
        <v>1</v>
      </c>
      <c r="O254" s="56"/>
      <c r="P254" s="56"/>
      <c r="Q254" s="56"/>
      <c r="R254" s="56"/>
      <c r="S254" s="56"/>
      <c r="T254" s="56"/>
      <c r="U254" s="56"/>
      <c r="V254" s="56">
        <f t="shared" si="67"/>
        <v>1</v>
      </c>
      <c r="W254" s="56"/>
      <c r="X254" s="56"/>
      <c r="Y254" s="56"/>
      <c r="Z254" s="56"/>
      <c r="AA254" s="56"/>
      <c r="AB254" s="56"/>
      <c r="AC254" s="56"/>
      <c r="AD254" s="56"/>
      <c r="AE254" s="56"/>
      <c r="AF254" s="56">
        <f t="shared" si="48"/>
        <v>0</v>
      </c>
      <c r="AG254" s="56">
        <f t="shared" si="49"/>
        <v>-1</v>
      </c>
      <c r="AH254" s="56">
        <f t="shared" si="50"/>
        <v>0</v>
      </c>
      <c r="AI254" s="56">
        <f t="shared" si="51"/>
        <v>0</v>
      </c>
      <c r="AJ254" s="56">
        <f t="shared" si="52"/>
        <v>0</v>
      </c>
      <c r="AK254" s="56">
        <f t="shared" si="53"/>
        <v>0</v>
      </c>
      <c r="AL254" s="56">
        <f t="shared" si="54"/>
        <v>0</v>
      </c>
      <c r="AM254" s="56">
        <f t="shared" si="55"/>
        <v>0</v>
      </c>
      <c r="AN254" s="56">
        <f t="shared" si="56"/>
        <v>0</v>
      </c>
      <c r="AO254" s="58">
        <f t="shared" si="69"/>
        <v>-1</v>
      </c>
      <c r="AP254" s="69"/>
      <c r="AQ254" s="40">
        <v>0</v>
      </c>
      <c r="AR254" s="40">
        <v>0</v>
      </c>
      <c r="AS254" s="44">
        <f t="shared" si="72"/>
        <v>-0.25</v>
      </c>
      <c r="AT254" s="44">
        <f t="shared" si="72"/>
        <v>-0.25</v>
      </c>
      <c r="AU254" s="44">
        <f t="shared" si="72"/>
        <v>-0.25</v>
      </c>
      <c r="AV254" s="45">
        <f t="shared" si="72"/>
        <v>-0.25</v>
      </c>
      <c r="AW254" s="44"/>
      <c r="AX254" s="44"/>
      <c r="AY254" s="44"/>
      <c r="AZ254" s="44"/>
      <c r="BA254" s="45"/>
      <c r="BB254" s="152">
        <f t="shared" si="58"/>
        <v>-1</v>
      </c>
      <c r="BC254" s="43">
        <v>515922</v>
      </c>
      <c r="BD254" s="43">
        <v>171125</v>
      </c>
      <c r="BE254" t="s">
        <v>1405</v>
      </c>
      <c r="BF254"/>
      <c r="BG254" t="s">
        <v>1405</v>
      </c>
      <c r="BM254" t="s">
        <v>1545</v>
      </c>
      <c r="BN254" t="s">
        <v>1520</v>
      </c>
    </row>
    <row r="255" spans="1:66" ht="15" customHeight="1" x14ac:dyDescent="0.25">
      <c r="A255" s="56" t="s">
        <v>671</v>
      </c>
      <c r="B255" s="19" t="s">
        <v>20</v>
      </c>
      <c r="C255" s="56"/>
      <c r="D255" s="34">
        <v>43500</v>
      </c>
      <c r="E255" s="34">
        <v>44596</v>
      </c>
      <c r="F255" s="19"/>
      <c r="G255" s="19"/>
      <c r="H255" s="33" t="s">
        <v>1100</v>
      </c>
      <c r="I255" s="19" t="s">
        <v>1173</v>
      </c>
      <c r="J255" s="19"/>
      <c r="K255" s="56" t="s">
        <v>672</v>
      </c>
      <c r="L255" s="46" t="s">
        <v>673</v>
      </c>
      <c r="M255" s="56"/>
      <c r="N255" s="56"/>
      <c r="O255" s="56"/>
      <c r="P255" s="56"/>
      <c r="Q255" s="56"/>
      <c r="R255" s="56"/>
      <c r="S255" s="56"/>
      <c r="T255" s="56"/>
      <c r="U255" s="56"/>
      <c r="V255" s="56">
        <f t="shared" si="67"/>
        <v>0</v>
      </c>
      <c r="W255" s="56"/>
      <c r="X255" s="56"/>
      <c r="Y255" s="56"/>
      <c r="Z255" s="56">
        <v>3</v>
      </c>
      <c r="AA255" s="56"/>
      <c r="AB255" s="56"/>
      <c r="AC255" s="56"/>
      <c r="AD255" s="56"/>
      <c r="AE255" s="56">
        <v>0</v>
      </c>
      <c r="AF255" s="56">
        <f t="shared" si="48"/>
        <v>3</v>
      </c>
      <c r="AG255" s="56">
        <f t="shared" si="49"/>
        <v>0</v>
      </c>
      <c r="AH255" s="56">
        <f t="shared" si="50"/>
        <v>0</v>
      </c>
      <c r="AI255" s="56">
        <f t="shared" si="51"/>
        <v>3</v>
      </c>
      <c r="AJ255" s="56">
        <f t="shared" si="52"/>
        <v>0</v>
      </c>
      <c r="AK255" s="56">
        <f t="shared" si="53"/>
        <v>0</v>
      </c>
      <c r="AL255" s="56">
        <f t="shared" si="54"/>
        <v>0</v>
      </c>
      <c r="AM255" s="56">
        <f t="shared" si="55"/>
        <v>0</v>
      </c>
      <c r="AN255" s="56">
        <f t="shared" si="56"/>
        <v>0</v>
      </c>
      <c r="AO255" s="58">
        <f t="shared" si="69"/>
        <v>3</v>
      </c>
      <c r="AP255" s="69"/>
      <c r="AQ255" s="40">
        <v>0</v>
      </c>
      <c r="AR255" s="40">
        <v>0</v>
      </c>
      <c r="AS255" s="44">
        <f t="shared" si="72"/>
        <v>0.75</v>
      </c>
      <c r="AT255" s="44">
        <f t="shared" si="72"/>
        <v>0.75</v>
      </c>
      <c r="AU255" s="44">
        <f t="shared" si="72"/>
        <v>0.75</v>
      </c>
      <c r="AV255" s="45">
        <f t="shared" si="72"/>
        <v>0.75</v>
      </c>
      <c r="AW255" s="44"/>
      <c r="AX255" s="44"/>
      <c r="AY255" s="44"/>
      <c r="AZ255" s="44"/>
      <c r="BA255" s="45"/>
      <c r="BB255" s="152">
        <f t="shared" si="58"/>
        <v>3</v>
      </c>
      <c r="BC255" s="43">
        <v>520397</v>
      </c>
      <c r="BD255" s="43">
        <v>175552</v>
      </c>
      <c r="BE255" t="s">
        <v>1402</v>
      </c>
      <c r="BF255"/>
      <c r="BG255" t="s">
        <v>1402</v>
      </c>
    </row>
    <row r="256" spans="1:66" ht="15" customHeight="1" x14ac:dyDescent="0.25">
      <c r="A256" s="56" t="s">
        <v>674</v>
      </c>
      <c r="B256" s="19" t="s">
        <v>31</v>
      </c>
      <c r="C256" s="56" t="s">
        <v>1203</v>
      </c>
      <c r="D256" s="34">
        <v>43242</v>
      </c>
      <c r="E256" s="34">
        <v>44338</v>
      </c>
      <c r="F256" s="19"/>
      <c r="G256" s="19"/>
      <c r="H256" s="38" t="s">
        <v>1100</v>
      </c>
      <c r="I256" s="19" t="s">
        <v>1173</v>
      </c>
      <c r="J256" s="19"/>
      <c r="K256" s="56" t="s">
        <v>675</v>
      </c>
      <c r="L256" s="46" t="s">
        <v>673</v>
      </c>
      <c r="M256" s="56" t="s">
        <v>525</v>
      </c>
      <c r="N256" s="56"/>
      <c r="O256" s="56"/>
      <c r="P256" s="56"/>
      <c r="Q256" s="56"/>
      <c r="R256" s="56"/>
      <c r="S256" s="56"/>
      <c r="T256" s="56"/>
      <c r="U256" s="56"/>
      <c r="V256" s="56">
        <f t="shared" si="67"/>
        <v>0</v>
      </c>
      <c r="W256" s="56"/>
      <c r="X256" s="56"/>
      <c r="Y256" s="56"/>
      <c r="Z256" s="56">
        <v>5</v>
      </c>
      <c r="AA256" s="56"/>
      <c r="AB256" s="56"/>
      <c r="AC256" s="56"/>
      <c r="AD256" s="56"/>
      <c r="AE256" s="56"/>
      <c r="AF256" s="56">
        <f t="shared" si="48"/>
        <v>5</v>
      </c>
      <c r="AG256" s="56">
        <f t="shared" si="49"/>
        <v>0</v>
      </c>
      <c r="AH256" s="56">
        <f t="shared" si="50"/>
        <v>0</v>
      </c>
      <c r="AI256" s="56">
        <f t="shared" si="51"/>
        <v>5</v>
      </c>
      <c r="AJ256" s="56">
        <f t="shared" si="52"/>
        <v>0</v>
      </c>
      <c r="AK256" s="56">
        <f t="shared" si="53"/>
        <v>0</v>
      </c>
      <c r="AL256" s="56">
        <f t="shared" si="54"/>
        <v>0</v>
      </c>
      <c r="AM256" s="56">
        <f t="shared" si="55"/>
        <v>0</v>
      </c>
      <c r="AN256" s="56">
        <f t="shared" si="56"/>
        <v>0</v>
      </c>
      <c r="AO256" s="58">
        <f t="shared" si="69"/>
        <v>5</v>
      </c>
      <c r="AP256" s="69"/>
      <c r="AQ256" s="40">
        <v>0</v>
      </c>
      <c r="AR256" s="40">
        <v>0</v>
      </c>
      <c r="AS256" s="44">
        <f t="shared" si="72"/>
        <v>1.25</v>
      </c>
      <c r="AT256" s="44">
        <f t="shared" si="72"/>
        <v>1.25</v>
      </c>
      <c r="AU256" s="44">
        <f t="shared" si="72"/>
        <v>1.25</v>
      </c>
      <c r="AV256" s="45">
        <f t="shared" si="72"/>
        <v>1.25</v>
      </c>
      <c r="AW256" s="44"/>
      <c r="AX256" s="44"/>
      <c r="AY256" s="44"/>
      <c r="AZ256" s="44"/>
      <c r="BA256" s="45"/>
      <c r="BB256" s="152">
        <f t="shared" si="58"/>
        <v>5</v>
      </c>
      <c r="BC256" s="43">
        <v>520397</v>
      </c>
      <c r="BD256" s="43">
        <v>175552</v>
      </c>
      <c r="BE256" t="s">
        <v>1402</v>
      </c>
      <c r="BF256"/>
      <c r="BG256" t="s">
        <v>1402</v>
      </c>
    </row>
    <row r="257" spans="1:66" ht="15" customHeight="1" x14ac:dyDescent="0.25">
      <c r="A257" s="56" t="s">
        <v>676</v>
      </c>
      <c r="B257" s="19" t="s">
        <v>48</v>
      </c>
      <c r="C257" s="56"/>
      <c r="D257" s="34">
        <v>43671</v>
      </c>
      <c r="E257" s="34">
        <v>44767</v>
      </c>
      <c r="F257" s="19"/>
      <c r="G257" s="19"/>
      <c r="H257" s="38" t="s">
        <v>1100</v>
      </c>
      <c r="I257" s="19" t="s">
        <v>1173</v>
      </c>
      <c r="J257" s="19"/>
      <c r="K257" s="56" t="s">
        <v>677</v>
      </c>
      <c r="L257" s="60" t="s">
        <v>1247</v>
      </c>
      <c r="M257" s="56" t="s">
        <v>678</v>
      </c>
      <c r="N257" s="56"/>
      <c r="O257" s="56"/>
      <c r="P257" s="56">
        <v>2</v>
      </c>
      <c r="Q257" s="56"/>
      <c r="R257" s="56"/>
      <c r="S257" s="56"/>
      <c r="T257" s="56"/>
      <c r="U257" s="56"/>
      <c r="V257" s="56">
        <f t="shared" si="67"/>
        <v>2</v>
      </c>
      <c r="W257" s="56"/>
      <c r="X257" s="56">
        <v>1</v>
      </c>
      <c r="Y257" s="56">
        <v>2</v>
      </c>
      <c r="Z257" s="56"/>
      <c r="AA257" s="56"/>
      <c r="AB257" s="56"/>
      <c r="AC257" s="56"/>
      <c r="AD257" s="56"/>
      <c r="AE257" s="56"/>
      <c r="AF257" s="56">
        <f t="shared" si="48"/>
        <v>3</v>
      </c>
      <c r="AG257" s="56">
        <f t="shared" si="49"/>
        <v>1</v>
      </c>
      <c r="AH257" s="56">
        <f t="shared" si="50"/>
        <v>2</v>
      </c>
      <c r="AI257" s="56">
        <f t="shared" si="51"/>
        <v>-2</v>
      </c>
      <c r="AJ257" s="56">
        <f t="shared" si="52"/>
        <v>0</v>
      </c>
      <c r="AK257" s="56">
        <f t="shared" si="53"/>
        <v>0</v>
      </c>
      <c r="AL257" s="56">
        <f t="shared" si="54"/>
        <v>0</v>
      </c>
      <c r="AM257" s="56">
        <f t="shared" si="55"/>
        <v>0</v>
      </c>
      <c r="AN257" s="56">
        <f t="shared" si="56"/>
        <v>0</v>
      </c>
      <c r="AO257" s="58">
        <f t="shared" si="69"/>
        <v>1</v>
      </c>
      <c r="AP257" s="69"/>
      <c r="AQ257" s="40">
        <v>0</v>
      </c>
      <c r="AR257" s="40">
        <v>0</v>
      </c>
      <c r="AS257" s="44">
        <f t="shared" si="72"/>
        <v>0.25</v>
      </c>
      <c r="AT257" s="44">
        <f t="shared" si="72"/>
        <v>0.25</v>
      </c>
      <c r="AU257" s="44">
        <f t="shared" si="72"/>
        <v>0.25</v>
      </c>
      <c r="AV257" s="45">
        <f t="shared" si="72"/>
        <v>0.25</v>
      </c>
      <c r="AW257" s="44"/>
      <c r="AX257" s="44"/>
      <c r="AY257" s="44"/>
      <c r="AZ257" s="44"/>
      <c r="BA257" s="45"/>
      <c r="BB257" s="152">
        <f t="shared" si="58"/>
        <v>1</v>
      </c>
      <c r="BC257" s="43">
        <v>514448</v>
      </c>
      <c r="BD257" s="43">
        <v>171212</v>
      </c>
      <c r="BE257" t="s">
        <v>1458</v>
      </c>
      <c r="BF257"/>
      <c r="BI257" t="s">
        <v>1551</v>
      </c>
      <c r="BJ257" t="s">
        <v>1503</v>
      </c>
    </row>
    <row r="258" spans="1:66" ht="15" customHeight="1" x14ac:dyDescent="0.25">
      <c r="A258" s="56" t="s">
        <v>683</v>
      </c>
      <c r="B258" s="19" t="s">
        <v>31</v>
      </c>
      <c r="C258" s="56"/>
      <c r="D258" s="34">
        <v>43455</v>
      </c>
      <c r="E258" s="34">
        <v>44551</v>
      </c>
      <c r="F258" s="19"/>
      <c r="G258" s="19"/>
      <c r="H258" s="38" t="s">
        <v>1100</v>
      </c>
      <c r="I258" s="19" t="s">
        <v>1173</v>
      </c>
      <c r="J258" s="19"/>
      <c r="K258" s="56" t="s">
        <v>684</v>
      </c>
      <c r="L258" s="57" t="s">
        <v>685</v>
      </c>
      <c r="M258" s="56" t="s">
        <v>686</v>
      </c>
      <c r="N258" s="56">
        <v>1</v>
      </c>
      <c r="O258" s="56"/>
      <c r="P258" s="56"/>
      <c r="Q258" s="56"/>
      <c r="R258" s="56"/>
      <c r="S258" s="56"/>
      <c r="T258" s="56"/>
      <c r="U258" s="56"/>
      <c r="V258" s="56">
        <f t="shared" si="67"/>
        <v>1</v>
      </c>
      <c r="W258" s="56"/>
      <c r="X258" s="56">
        <v>2</v>
      </c>
      <c r="Y258" s="56"/>
      <c r="Z258" s="56"/>
      <c r="AA258" s="56"/>
      <c r="AB258" s="56"/>
      <c r="AC258" s="56"/>
      <c r="AD258" s="56"/>
      <c r="AE258" s="56"/>
      <c r="AF258" s="56">
        <f t="shared" ref="AF258:AF316" si="73">SUM(X258:AD258)</f>
        <v>2</v>
      </c>
      <c r="AG258" s="56">
        <f t="shared" ref="AG258:AG316" si="74">X258-N258</f>
        <v>1</v>
      </c>
      <c r="AH258" s="56">
        <f t="shared" ref="AH258:AH316" si="75">Y258-O258</f>
        <v>0</v>
      </c>
      <c r="AI258" s="56">
        <f t="shared" ref="AI258:AI316" si="76">Z258-P258</f>
        <v>0</v>
      </c>
      <c r="AJ258" s="56">
        <f t="shared" ref="AJ258:AJ316" si="77">AA258-Q258</f>
        <v>0</v>
      </c>
      <c r="AK258" s="56">
        <f t="shared" ref="AK258:AK316" si="78">AB258-R258</f>
        <v>0</v>
      </c>
      <c r="AL258" s="56">
        <f t="shared" ref="AL258:AL316" si="79">AC258-S258</f>
        <v>0</v>
      </c>
      <c r="AM258" s="56">
        <f t="shared" ref="AM258:AM316" si="80">AD258-T258</f>
        <v>0</v>
      </c>
      <c r="AN258" s="56">
        <f t="shared" ref="AN258:AN316" si="81">0-U258</f>
        <v>0</v>
      </c>
      <c r="AO258" s="58">
        <f t="shared" si="69"/>
        <v>1</v>
      </c>
      <c r="AP258" s="69"/>
      <c r="AQ258" s="40">
        <v>0</v>
      </c>
      <c r="AR258" s="40">
        <v>0</v>
      </c>
      <c r="AS258" s="44">
        <f t="shared" si="72"/>
        <v>0.25</v>
      </c>
      <c r="AT258" s="44">
        <f t="shared" si="72"/>
        <v>0.25</v>
      </c>
      <c r="AU258" s="44">
        <f t="shared" si="72"/>
        <v>0.25</v>
      </c>
      <c r="AV258" s="45">
        <f t="shared" si="72"/>
        <v>0.25</v>
      </c>
      <c r="AW258" s="44"/>
      <c r="AX258" s="44"/>
      <c r="AY258" s="44"/>
      <c r="AZ258" s="44"/>
      <c r="BA258" s="45"/>
      <c r="BB258" s="152">
        <f t="shared" ref="BB258:BB321" si="82">SUM(AR258:BA258)</f>
        <v>1</v>
      </c>
      <c r="BC258" s="43">
        <v>518862</v>
      </c>
      <c r="BD258" s="43">
        <v>175562</v>
      </c>
      <c r="BE258" t="s">
        <v>1422</v>
      </c>
      <c r="BF258"/>
    </row>
    <row r="259" spans="1:66" ht="15" customHeight="1" x14ac:dyDescent="0.25">
      <c r="A259" s="56" t="s">
        <v>692</v>
      </c>
      <c r="B259" s="19" t="s">
        <v>20</v>
      </c>
      <c r="C259" s="56"/>
      <c r="D259" s="34">
        <v>43472</v>
      </c>
      <c r="E259" s="34">
        <v>44568</v>
      </c>
      <c r="F259" s="19"/>
      <c r="G259" s="19"/>
      <c r="H259" s="38" t="s">
        <v>1100</v>
      </c>
      <c r="I259" s="19" t="s">
        <v>1173</v>
      </c>
      <c r="J259" s="19"/>
      <c r="K259" s="56" t="s">
        <v>693</v>
      </c>
      <c r="L259" s="57" t="s">
        <v>694</v>
      </c>
      <c r="M259" s="56" t="s">
        <v>695</v>
      </c>
      <c r="N259" s="56"/>
      <c r="O259" s="56"/>
      <c r="P259" s="56"/>
      <c r="Q259" s="56"/>
      <c r="R259" s="56"/>
      <c r="S259" s="56"/>
      <c r="T259" s="56"/>
      <c r="U259" s="56"/>
      <c r="V259" s="56">
        <f t="shared" si="67"/>
        <v>0</v>
      </c>
      <c r="W259" s="56"/>
      <c r="X259" s="56"/>
      <c r="Y259" s="56">
        <v>1</v>
      </c>
      <c r="Z259" s="56"/>
      <c r="AA259" s="56"/>
      <c r="AB259" s="56"/>
      <c r="AC259" s="56"/>
      <c r="AD259" s="56"/>
      <c r="AE259" s="56"/>
      <c r="AF259" s="56">
        <f t="shared" si="73"/>
        <v>1</v>
      </c>
      <c r="AG259" s="56">
        <f t="shared" si="74"/>
        <v>0</v>
      </c>
      <c r="AH259" s="56">
        <f t="shared" si="75"/>
        <v>1</v>
      </c>
      <c r="AI259" s="56">
        <f t="shared" si="76"/>
        <v>0</v>
      </c>
      <c r="AJ259" s="56">
        <f t="shared" si="77"/>
        <v>0</v>
      </c>
      <c r="AK259" s="56">
        <f t="shared" si="78"/>
        <v>0</v>
      </c>
      <c r="AL259" s="56">
        <f t="shared" si="79"/>
        <v>0</v>
      </c>
      <c r="AM259" s="56">
        <f t="shared" si="80"/>
        <v>0</v>
      </c>
      <c r="AN259" s="56">
        <f t="shared" si="81"/>
        <v>0</v>
      </c>
      <c r="AO259" s="58">
        <f t="shared" si="69"/>
        <v>1</v>
      </c>
      <c r="AP259" s="69"/>
      <c r="AQ259" s="40">
        <v>0</v>
      </c>
      <c r="AR259" s="40">
        <v>0</v>
      </c>
      <c r="AS259" s="44">
        <f t="shared" si="72"/>
        <v>0.25</v>
      </c>
      <c r="AT259" s="44">
        <f t="shared" si="72"/>
        <v>0.25</v>
      </c>
      <c r="AU259" s="44">
        <f t="shared" si="72"/>
        <v>0.25</v>
      </c>
      <c r="AV259" s="45">
        <f t="shared" si="72"/>
        <v>0.25</v>
      </c>
      <c r="AW259" s="44"/>
      <c r="AX259" s="44"/>
      <c r="AY259" s="44"/>
      <c r="AZ259" s="44"/>
      <c r="BA259" s="45"/>
      <c r="BB259" s="152">
        <f t="shared" si="82"/>
        <v>1</v>
      </c>
      <c r="BC259" s="43">
        <v>514703</v>
      </c>
      <c r="BD259" s="43">
        <v>172701</v>
      </c>
      <c r="BE259" t="s">
        <v>1427</v>
      </c>
      <c r="BF259"/>
    </row>
    <row r="260" spans="1:66" ht="15" customHeight="1" x14ac:dyDescent="0.25">
      <c r="A260" s="56" t="s">
        <v>696</v>
      </c>
      <c r="B260" s="19" t="s">
        <v>20</v>
      </c>
      <c r="C260" s="56"/>
      <c r="D260" s="34">
        <v>43322</v>
      </c>
      <c r="E260" s="34">
        <v>44418</v>
      </c>
      <c r="F260" s="34"/>
      <c r="G260" s="19"/>
      <c r="H260" s="38" t="s">
        <v>1100</v>
      </c>
      <c r="I260" s="19" t="s">
        <v>1173</v>
      </c>
      <c r="J260" s="19"/>
      <c r="K260" s="56" t="s">
        <v>697</v>
      </c>
      <c r="L260" s="57" t="s">
        <v>698</v>
      </c>
      <c r="M260" s="56" t="s">
        <v>699</v>
      </c>
      <c r="N260" s="56"/>
      <c r="O260" s="56"/>
      <c r="P260" s="56"/>
      <c r="Q260" s="56">
        <v>1</v>
      </c>
      <c r="R260" s="56"/>
      <c r="S260" s="56"/>
      <c r="T260" s="56"/>
      <c r="U260" s="56"/>
      <c r="V260" s="56">
        <f t="shared" si="67"/>
        <v>1</v>
      </c>
      <c r="W260" s="56"/>
      <c r="X260" s="56"/>
      <c r="Y260" s="56"/>
      <c r="Z260" s="56"/>
      <c r="AA260" s="56">
        <v>1</v>
      </c>
      <c r="AB260" s="56"/>
      <c r="AC260" s="56"/>
      <c r="AD260" s="56"/>
      <c r="AE260" s="56"/>
      <c r="AF260" s="56">
        <f t="shared" si="73"/>
        <v>1</v>
      </c>
      <c r="AG260" s="56">
        <f t="shared" si="74"/>
        <v>0</v>
      </c>
      <c r="AH260" s="56">
        <f t="shared" si="75"/>
        <v>0</v>
      </c>
      <c r="AI260" s="56">
        <f t="shared" si="76"/>
        <v>0</v>
      </c>
      <c r="AJ260" s="56">
        <f t="shared" si="77"/>
        <v>0</v>
      </c>
      <c r="AK260" s="56">
        <f t="shared" si="78"/>
        <v>0</v>
      </c>
      <c r="AL260" s="56">
        <f t="shared" si="79"/>
        <v>0</v>
      </c>
      <c r="AM260" s="56">
        <f t="shared" si="80"/>
        <v>0</v>
      </c>
      <c r="AN260" s="56">
        <f t="shared" si="81"/>
        <v>0</v>
      </c>
      <c r="AO260" s="58">
        <f t="shared" si="69"/>
        <v>0</v>
      </c>
      <c r="AP260" s="69"/>
      <c r="AQ260" s="40">
        <v>0</v>
      </c>
      <c r="AR260" s="40">
        <v>0</v>
      </c>
      <c r="AS260" s="31">
        <v>0</v>
      </c>
      <c r="AT260" s="31">
        <v>0</v>
      </c>
      <c r="AU260" s="31">
        <v>0</v>
      </c>
      <c r="AV260" s="39">
        <v>0</v>
      </c>
      <c r="AW260" s="31"/>
      <c r="AX260" s="31"/>
      <c r="AY260" s="31"/>
      <c r="AZ260" s="31"/>
      <c r="BA260" s="39"/>
      <c r="BB260" s="152">
        <f t="shared" si="82"/>
        <v>0</v>
      </c>
      <c r="BC260" s="43">
        <v>515299</v>
      </c>
      <c r="BD260" s="43">
        <v>173105</v>
      </c>
      <c r="BE260" t="s">
        <v>1424</v>
      </c>
      <c r="BF260"/>
    </row>
    <row r="261" spans="1:66" ht="15" customHeight="1" x14ac:dyDescent="0.25">
      <c r="A261" s="56" t="s">
        <v>716</v>
      </c>
      <c r="B261" s="19" t="s">
        <v>20</v>
      </c>
      <c r="C261" s="56"/>
      <c r="D261" s="34">
        <v>43385</v>
      </c>
      <c r="E261" s="34">
        <v>44550</v>
      </c>
      <c r="F261" s="19"/>
      <c r="G261" s="19"/>
      <c r="H261" s="36" t="s">
        <v>1100</v>
      </c>
      <c r="I261" s="19" t="s">
        <v>1173</v>
      </c>
      <c r="J261" s="19"/>
      <c r="K261" s="56" t="s">
        <v>717</v>
      </c>
      <c r="L261" s="57" t="s">
        <v>718</v>
      </c>
      <c r="M261" s="56" t="s">
        <v>719</v>
      </c>
      <c r="N261" s="56"/>
      <c r="O261" s="56"/>
      <c r="P261" s="56"/>
      <c r="Q261" s="56"/>
      <c r="R261" s="56"/>
      <c r="S261" s="56"/>
      <c r="T261" s="56"/>
      <c r="U261" s="56"/>
      <c r="V261" s="56">
        <f t="shared" si="67"/>
        <v>0</v>
      </c>
      <c r="W261" s="56"/>
      <c r="X261" s="56">
        <v>1</v>
      </c>
      <c r="Y261" s="56"/>
      <c r="Z261" s="56"/>
      <c r="AA261" s="56"/>
      <c r="AB261" s="56"/>
      <c r="AC261" s="56"/>
      <c r="AD261" s="56"/>
      <c r="AE261" s="56"/>
      <c r="AF261" s="56">
        <f t="shared" si="73"/>
        <v>1</v>
      </c>
      <c r="AG261" s="56">
        <f t="shared" si="74"/>
        <v>1</v>
      </c>
      <c r="AH261" s="56">
        <f t="shared" si="75"/>
        <v>0</v>
      </c>
      <c r="AI261" s="56">
        <f t="shared" si="76"/>
        <v>0</v>
      </c>
      <c r="AJ261" s="56">
        <f t="shared" si="77"/>
        <v>0</v>
      </c>
      <c r="AK261" s="56">
        <f t="shared" si="78"/>
        <v>0</v>
      </c>
      <c r="AL261" s="56">
        <f t="shared" si="79"/>
        <v>0</v>
      </c>
      <c r="AM261" s="56">
        <f t="shared" si="80"/>
        <v>0</v>
      </c>
      <c r="AN261" s="56">
        <f t="shared" si="81"/>
        <v>0</v>
      </c>
      <c r="AO261" s="58">
        <f t="shared" si="69"/>
        <v>1</v>
      </c>
      <c r="AP261" s="69"/>
      <c r="AQ261" s="40">
        <v>0</v>
      </c>
      <c r="AR261" s="40">
        <v>0</v>
      </c>
      <c r="AS261" s="44">
        <f>AO261</f>
        <v>1</v>
      </c>
      <c r="AT261" s="44">
        <v>0</v>
      </c>
      <c r="AU261" s="44">
        <v>0</v>
      </c>
      <c r="AV261" s="45">
        <v>0</v>
      </c>
      <c r="AW261" s="44"/>
      <c r="AX261" s="44"/>
      <c r="AY261" s="44"/>
      <c r="AZ261" s="44"/>
      <c r="BA261" s="45"/>
      <c r="BB261" s="152">
        <f t="shared" si="82"/>
        <v>1</v>
      </c>
      <c r="BC261" s="43">
        <v>517388</v>
      </c>
      <c r="BD261" s="43">
        <v>170706</v>
      </c>
      <c r="BE261" t="s">
        <v>1418</v>
      </c>
      <c r="BF261" t="s">
        <v>1410</v>
      </c>
    </row>
    <row r="262" spans="1:66" ht="15" customHeight="1" x14ac:dyDescent="0.25">
      <c r="A262" s="56" t="s">
        <v>730</v>
      </c>
      <c r="B262" s="19" t="s">
        <v>43</v>
      </c>
      <c r="C262" s="56"/>
      <c r="D262" s="34">
        <v>43445</v>
      </c>
      <c r="E262" s="34">
        <v>44541</v>
      </c>
      <c r="F262" s="19"/>
      <c r="G262" s="19"/>
      <c r="H262" s="33" t="s">
        <v>1100</v>
      </c>
      <c r="I262" s="19" t="s">
        <v>1173</v>
      </c>
      <c r="J262" s="19"/>
      <c r="K262" s="56" t="s">
        <v>731</v>
      </c>
      <c r="L262" s="57" t="s">
        <v>732</v>
      </c>
      <c r="M262" s="56" t="s">
        <v>733</v>
      </c>
      <c r="N262" s="56"/>
      <c r="O262" s="56"/>
      <c r="P262" s="56"/>
      <c r="Q262" s="56"/>
      <c r="R262" s="56"/>
      <c r="S262" s="56"/>
      <c r="T262" s="56"/>
      <c r="U262" s="56"/>
      <c r="V262" s="56">
        <f t="shared" si="67"/>
        <v>0</v>
      </c>
      <c r="W262" s="56"/>
      <c r="X262" s="56">
        <v>1</v>
      </c>
      <c r="Y262" s="56"/>
      <c r="Z262" s="56"/>
      <c r="AA262" s="56"/>
      <c r="AB262" s="56"/>
      <c r="AC262" s="56"/>
      <c r="AD262" s="56"/>
      <c r="AE262" s="56"/>
      <c r="AF262" s="56">
        <f t="shared" si="73"/>
        <v>1</v>
      </c>
      <c r="AG262" s="56">
        <f t="shared" si="74"/>
        <v>1</v>
      </c>
      <c r="AH262" s="56">
        <f t="shared" si="75"/>
        <v>0</v>
      </c>
      <c r="AI262" s="56">
        <f t="shared" si="76"/>
        <v>0</v>
      </c>
      <c r="AJ262" s="56">
        <f t="shared" si="77"/>
        <v>0</v>
      </c>
      <c r="AK262" s="56">
        <f t="shared" si="78"/>
        <v>0</v>
      </c>
      <c r="AL262" s="56">
        <f t="shared" si="79"/>
        <v>0</v>
      </c>
      <c r="AM262" s="56">
        <f t="shared" si="80"/>
        <v>0</v>
      </c>
      <c r="AN262" s="56">
        <f t="shared" si="81"/>
        <v>0</v>
      </c>
      <c r="AO262" s="58">
        <f t="shared" si="69"/>
        <v>1</v>
      </c>
      <c r="AP262" s="69"/>
      <c r="AQ262" s="40">
        <v>0</v>
      </c>
      <c r="AR262" s="40">
        <v>0</v>
      </c>
      <c r="AS262" s="44">
        <f>$AO262/4</f>
        <v>0.25</v>
      </c>
      <c r="AT262" s="44">
        <f>$AO262/4</f>
        <v>0.25</v>
      </c>
      <c r="AU262" s="44">
        <f>$AO262/4</f>
        <v>0.25</v>
      </c>
      <c r="AV262" s="45">
        <f>$AO262/4</f>
        <v>0.25</v>
      </c>
      <c r="AW262" s="44"/>
      <c r="AX262" s="44"/>
      <c r="AY262" s="44"/>
      <c r="AZ262" s="44"/>
      <c r="BA262" s="45"/>
      <c r="BB262" s="152">
        <f t="shared" si="82"/>
        <v>1</v>
      </c>
      <c r="BC262" s="43">
        <v>515913</v>
      </c>
      <c r="BD262" s="43">
        <v>173384</v>
      </c>
      <c r="BE262" t="s">
        <v>1426</v>
      </c>
      <c r="BF262"/>
    </row>
    <row r="263" spans="1:66" ht="15" customHeight="1" x14ac:dyDescent="0.25">
      <c r="A263" s="56" t="s">
        <v>734</v>
      </c>
      <c r="B263" s="19" t="s">
        <v>20</v>
      </c>
      <c r="C263" s="56"/>
      <c r="D263" s="34">
        <v>43508</v>
      </c>
      <c r="E263" s="34">
        <v>44604</v>
      </c>
      <c r="F263" s="19"/>
      <c r="G263" s="19"/>
      <c r="H263" s="38" t="s">
        <v>1100</v>
      </c>
      <c r="I263" s="19" t="s">
        <v>1173</v>
      </c>
      <c r="J263" s="19"/>
      <c r="K263" s="56" t="s">
        <v>735</v>
      </c>
      <c r="L263" s="57" t="s">
        <v>736</v>
      </c>
      <c r="M263" s="56" t="s">
        <v>737</v>
      </c>
      <c r="N263" s="56"/>
      <c r="O263" s="56"/>
      <c r="P263" s="56"/>
      <c r="Q263" s="56"/>
      <c r="R263" s="56"/>
      <c r="S263" s="56">
        <v>1</v>
      </c>
      <c r="T263" s="56"/>
      <c r="U263" s="56"/>
      <c r="V263" s="56">
        <f t="shared" si="67"/>
        <v>1</v>
      </c>
      <c r="W263" s="56"/>
      <c r="X263" s="56"/>
      <c r="Y263" s="56"/>
      <c r="Z263" s="56"/>
      <c r="AA263" s="56"/>
      <c r="AB263" s="56">
        <v>1</v>
      </c>
      <c r="AC263" s="56"/>
      <c r="AD263" s="56"/>
      <c r="AE263" s="56"/>
      <c r="AF263" s="56">
        <f t="shared" si="73"/>
        <v>1</v>
      </c>
      <c r="AG263" s="56">
        <f t="shared" si="74"/>
        <v>0</v>
      </c>
      <c r="AH263" s="56">
        <f t="shared" si="75"/>
        <v>0</v>
      </c>
      <c r="AI263" s="56">
        <f t="shared" si="76"/>
        <v>0</v>
      </c>
      <c r="AJ263" s="56">
        <f t="shared" si="77"/>
        <v>0</v>
      </c>
      <c r="AK263" s="56">
        <f t="shared" si="78"/>
        <v>1</v>
      </c>
      <c r="AL263" s="56">
        <f t="shared" si="79"/>
        <v>-1</v>
      </c>
      <c r="AM263" s="56">
        <f t="shared" si="80"/>
        <v>0</v>
      </c>
      <c r="AN263" s="56">
        <f t="shared" si="81"/>
        <v>0</v>
      </c>
      <c r="AO263" s="58">
        <f t="shared" si="69"/>
        <v>0</v>
      </c>
      <c r="AP263" s="69"/>
      <c r="AQ263" s="40">
        <v>0</v>
      </c>
      <c r="AR263" s="40">
        <v>0</v>
      </c>
      <c r="AS263" s="31">
        <v>0</v>
      </c>
      <c r="AT263" s="31">
        <v>0</v>
      </c>
      <c r="AU263" s="31">
        <v>0</v>
      </c>
      <c r="AV263" s="39">
        <v>0</v>
      </c>
      <c r="AW263" s="31"/>
      <c r="AX263" s="31"/>
      <c r="AY263" s="31"/>
      <c r="AZ263" s="31"/>
      <c r="BA263" s="39"/>
      <c r="BB263" s="152">
        <f t="shared" si="82"/>
        <v>0</v>
      </c>
      <c r="BC263" s="43">
        <v>522063</v>
      </c>
      <c r="BD263" s="43">
        <v>177165</v>
      </c>
      <c r="BE263" t="s">
        <v>1414</v>
      </c>
      <c r="BF263"/>
    </row>
    <row r="264" spans="1:66" ht="15" customHeight="1" x14ac:dyDescent="0.25">
      <c r="A264" s="56" t="s">
        <v>751</v>
      </c>
      <c r="B264" s="19" t="s">
        <v>31</v>
      </c>
      <c r="C264" s="56" t="s">
        <v>1203</v>
      </c>
      <c r="D264" s="34">
        <v>43357</v>
      </c>
      <c r="E264" s="34">
        <v>44453</v>
      </c>
      <c r="F264" s="19"/>
      <c r="G264" s="19"/>
      <c r="H264" s="38" t="s">
        <v>1100</v>
      </c>
      <c r="I264" s="19" t="s">
        <v>1173</v>
      </c>
      <c r="J264" s="19"/>
      <c r="K264" s="56" t="s">
        <v>752</v>
      </c>
      <c r="L264" s="57" t="s">
        <v>753</v>
      </c>
      <c r="M264" s="56" t="s">
        <v>754</v>
      </c>
      <c r="N264" s="56"/>
      <c r="O264" s="56"/>
      <c r="P264" s="56"/>
      <c r="Q264" s="56"/>
      <c r="R264" s="56"/>
      <c r="S264" s="56"/>
      <c r="T264" s="56"/>
      <c r="U264" s="56"/>
      <c r="V264" s="56">
        <f t="shared" si="67"/>
        <v>0</v>
      </c>
      <c r="W264" s="56"/>
      <c r="X264" s="56">
        <v>3</v>
      </c>
      <c r="Y264" s="56"/>
      <c r="Z264" s="56"/>
      <c r="AA264" s="56"/>
      <c r="AB264" s="56"/>
      <c r="AC264" s="56"/>
      <c r="AD264" s="56"/>
      <c r="AE264" s="56"/>
      <c r="AF264" s="56">
        <f t="shared" si="73"/>
        <v>3</v>
      </c>
      <c r="AG264" s="56">
        <f t="shared" si="74"/>
        <v>3</v>
      </c>
      <c r="AH264" s="56">
        <f t="shared" si="75"/>
        <v>0</v>
      </c>
      <c r="AI264" s="56">
        <f t="shared" si="76"/>
        <v>0</v>
      </c>
      <c r="AJ264" s="56">
        <f t="shared" si="77"/>
        <v>0</v>
      </c>
      <c r="AK264" s="56">
        <f t="shared" si="78"/>
        <v>0</v>
      </c>
      <c r="AL264" s="56">
        <f t="shared" si="79"/>
        <v>0</v>
      </c>
      <c r="AM264" s="56">
        <f t="shared" si="80"/>
        <v>0</v>
      </c>
      <c r="AN264" s="56">
        <f t="shared" si="81"/>
        <v>0</v>
      </c>
      <c r="AO264" s="58">
        <f t="shared" si="69"/>
        <v>3</v>
      </c>
      <c r="AP264" s="69"/>
      <c r="AQ264" s="40">
        <v>0</v>
      </c>
      <c r="AR264" s="40">
        <v>0</v>
      </c>
      <c r="AS264" s="44">
        <f t="shared" ref="AS264:AV268" si="83">$AO264/4</f>
        <v>0.75</v>
      </c>
      <c r="AT264" s="44">
        <f t="shared" si="83"/>
        <v>0.75</v>
      </c>
      <c r="AU264" s="44">
        <f t="shared" si="83"/>
        <v>0.75</v>
      </c>
      <c r="AV264" s="45">
        <f t="shared" si="83"/>
        <v>0.75</v>
      </c>
      <c r="AW264" s="44"/>
      <c r="AX264" s="44"/>
      <c r="AY264" s="44"/>
      <c r="AZ264" s="44"/>
      <c r="BA264" s="45"/>
      <c r="BB264" s="152">
        <f t="shared" si="82"/>
        <v>3</v>
      </c>
      <c r="BC264" s="43">
        <v>516288</v>
      </c>
      <c r="BD264" s="43">
        <v>171091</v>
      </c>
      <c r="BE264" t="s">
        <v>1405</v>
      </c>
      <c r="BF264"/>
      <c r="BG264" t="s">
        <v>1405</v>
      </c>
    </row>
    <row r="265" spans="1:66" ht="15" customHeight="1" x14ac:dyDescent="0.25">
      <c r="A265" s="56" t="s">
        <v>762</v>
      </c>
      <c r="B265" s="19" t="s">
        <v>31</v>
      </c>
      <c r="C265" s="56" t="s">
        <v>1203</v>
      </c>
      <c r="D265" s="34">
        <v>43381</v>
      </c>
      <c r="E265" s="34">
        <v>44477</v>
      </c>
      <c r="F265" s="19"/>
      <c r="G265" s="19"/>
      <c r="H265" s="38" t="s">
        <v>1100</v>
      </c>
      <c r="I265" s="19" t="s">
        <v>1173</v>
      </c>
      <c r="J265" s="19"/>
      <c r="K265" s="56" t="s">
        <v>763</v>
      </c>
      <c r="L265" s="57" t="s">
        <v>764</v>
      </c>
      <c r="M265" s="56" t="s">
        <v>765</v>
      </c>
      <c r="N265" s="56"/>
      <c r="O265" s="56"/>
      <c r="P265" s="56"/>
      <c r="Q265" s="56"/>
      <c r="R265" s="56"/>
      <c r="S265" s="56"/>
      <c r="T265" s="56"/>
      <c r="U265" s="56"/>
      <c r="V265" s="56">
        <f t="shared" si="67"/>
        <v>0</v>
      </c>
      <c r="W265" s="56"/>
      <c r="X265" s="56">
        <v>3</v>
      </c>
      <c r="Y265" s="56"/>
      <c r="Z265" s="56"/>
      <c r="AA265" s="56"/>
      <c r="AB265" s="56"/>
      <c r="AC265" s="56"/>
      <c r="AD265" s="56"/>
      <c r="AE265" s="56"/>
      <c r="AF265" s="56">
        <f t="shared" si="73"/>
        <v>3</v>
      </c>
      <c r="AG265" s="56">
        <f t="shared" si="74"/>
        <v>3</v>
      </c>
      <c r="AH265" s="56">
        <f t="shared" si="75"/>
        <v>0</v>
      </c>
      <c r="AI265" s="56">
        <f t="shared" si="76"/>
        <v>0</v>
      </c>
      <c r="AJ265" s="56">
        <f t="shared" si="77"/>
        <v>0</v>
      </c>
      <c r="AK265" s="56">
        <f t="shared" si="78"/>
        <v>0</v>
      </c>
      <c r="AL265" s="56">
        <f t="shared" si="79"/>
        <v>0</v>
      </c>
      <c r="AM265" s="56">
        <f t="shared" si="80"/>
        <v>0</v>
      </c>
      <c r="AN265" s="56">
        <f t="shared" si="81"/>
        <v>0</v>
      </c>
      <c r="AO265" s="58">
        <f t="shared" si="69"/>
        <v>3</v>
      </c>
      <c r="AP265" s="69"/>
      <c r="AQ265" s="40">
        <v>0</v>
      </c>
      <c r="AR265" s="40">
        <v>0</v>
      </c>
      <c r="AS265" s="44">
        <f t="shared" si="83"/>
        <v>0.75</v>
      </c>
      <c r="AT265" s="44">
        <f t="shared" si="83"/>
        <v>0.75</v>
      </c>
      <c r="AU265" s="44">
        <f t="shared" si="83"/>
        <v>0.75</v>
      </c>
      <c r="AV265" s="45">
        <f t="shared" si="83"/>
        <v>0.75</v>
      </c>
      <c r="AW265" s="44"/>
      <c r="AX265" s="44"/>
      <c r="AY265" s="44"/>
      <c r="AZ265" s="44"/>
      <c r="BA265" s="45"/>
      <c r="BB265" s="152">
        <f t="shared" si="82"/>
        <v>3</v>
      </c>
      <c r="BC265" s="43">
        <v>519756</v>
      </c>
      <c r="BD265" s="43">
        <v>175319</v>
      </c>
      <c r="BE265" t="s">
        <v>1402</v>
      </c>
      <c r="BF265"/>
    </row>
    <row r="266" spans="1:66" ht="15" customHeight="1" x14ac:dyDescent="0.25">
      <c r="A266" s="56" t="s">
        <v>769</v>
      </c>
      <c r="B266" s="19" t="s">
        <v>43</v>
      </c>
      <c r="C266" s="56"/>
      <c r="D266" s="34">
        <v>43776</v>
      </c>
      <c r="E266" s="34">
        <v>44872</v>
      </c>
      <c r="F266" s="19"/>
      <c r="G266" s="19"/>
      <c r="H266" s="38" t="s">
        <v>1100</v>
      </c>
      <c r="I266" s="19" t="s">
        <v>1173</v>
      </c>
      <c r="J266" s="19"/>
      <c r="K266" s="56" t="s">
        <v>770</v>
      </c>
      <c r="L266" s="57" t="s">
        <v>771</v>
      </c>
      <c r="M266" s="56" t="s">
        <v>772</v>
      </c>
      <c r="N266" s="56"/>
      <c r="O266" s="56"/>
      <c r="P266" s="56"/>
      <c r="Q266" s="56"/>
      <c r="R266" s="56"/>
      <c r="S266" s="56"/>
      <c r="T266" s="56"/>
      <c r="U266" s="56"/>
      <c r="V266" s="56">
        <f t="shared" si="67"/>
        <v>0</v>
      </c>
      <c r="W266" s="56"/>
      <c r="X266" s="56">
        <v>6</v>
      </c>
      <c r="Y266" s="56"/>
      <c r="Z266" s="56"/>
      <c r="AA266" s="56"/>
      <c r="AB266" s="56"/>
      <c r="AC266" s="56"/>
      <c r="AD266" s="56"/>
      <c r="AE266" s="56"/>
      <c r="AF266" s="56">
        <f t="shared" si="73"/>
        <v>6</v>
      </c>
      <c r="AG266" s="56">
        <f t="shared" si="74"/>
        <v>6</v>
      </c>
      <c r="AH266" s="56">
        <f t="shared" si="75"/>
        <v>0</v>
      </c>
      <c r="AI266" s="56">
        <f t="shared" si="76"/>
        <v>0</v>
      </c>
      <c r="AJ266" s="56">
        <f t="shared" si="77"/>
        <v>0</v>
      </c>
      <c r="AK266" s="56">
        <f t="shared" si="78"/>
        <v>0</v>
      </c>
      <c r="AL266" s="56">
        <f t="shared" si="79"/>
        <v>0</v>
      </c>
      <c r="AM266" s="56">
        <f t="shared" si="80"/>
        <v>0</v>
      </c>
      <c r="AN266" s="56">
        <f t="shared" si="81"/>
        <v>0</v>
      </c>
      <c r="AO266" s="58">
        <f t="shared" si="69"/>
        <v>6</v>
      </c>
      <c r="AP266" s="69"/>
      <c r="AQ266" s="40">
        <v>0</v>
      </c>
      <c r="AR266" s="40">
        <v>0</v>
      </c>
      <c r="AS266" s="31">
        <f t="shared" si="83"/>
        <v>1.5</v>
      </c>
      <c r="AT266" s="31">
        <f t="shared" si="83"/>
        <v>1.5</v>
      </c>
      <c r="AU266" s="31">
        <f t="shared" si="83"/>
        <v>1.5</v>
      </c>
      <c r="AV266" s="39">
        <f t="shared" si="83"/>
        <v>1.5</v>
      </c>
      <c r="AW266" s="31"/>
      <c r="AX266" s="31"/>
      <c r="AY266" s="31"/>
      <c r="AZ266" s="31"/>
      <c r="BA266" s="39"/>
      <c r="BB266" s="152">
        <f t="shared" si="82"/>
        <v>6</v>
      </c>
      <c r="BC266" s="43">
        <v>512869</v>
      </c>
      <c r="BD266" s="43">
        <v>169793</v>
      </c>
      <c r="BE266" t="s">
        <v>1417</v>
      </c>
      <c r="BF266"/>
    </row>
    <row r="267" spans="1:66" ht="15" customHeight="1" x14ac:dyDescent="0.25">
      <c r="A267" s="56" t="s">
        <v>773</v>
      </c>
      <c r="B267" s="19" t="s">
        <v>20</v>
      </c>
      <c r="C267" s="56"/>
      <c r="D267" s="34">
        <v>43609</v>
      </c>
      <c r="E267" s="34">
        <v>44705</v>
      </c>
      <c r="F267" s="19"/>
      <c r="G267" s="19"/>
      <c r="H267" s="38" t="s">
        <v>1100</v>
      </c>
      <c r="I267" s="19" t="s">
        <v>1173</v>
      </c>
      <c r="J267" s="19"/>
      <c r="K267" s="56" t="s">
        <v>774</v>
      </c>
      <c r="L267" s="57" t="s">
        <v>775</v>
      </c>
      <c r="M267" s="56" t="s">
        <v>776</v>
      </c>
      <c r="N267" s="56"/>
      <c r="O267" s="56"/>
      <c r="P267" s="56"/>
      <c r="Q267" s="56"/>
      <c r="R267" s="56"/>
      <c r="S267" s="56"/>
      <c r="T267" s="56"/>
      <c r="U267" s="56"/>
      <c r="V267" s="56">
        <f t="shared" ref="V267:V298" si="84">SUM(N267:U267)</f>
        <v>0</v>
      </c>
      <c r="W267" s="56"/>
      <c r="X267" s="56"/>
      <c r="Y267" s="56">
        <v>1</v>
      </c>
      <c r="Z267" s="56"/>
      <c r="AA267" s="56"/>
      <c r="AB267" s="56"/>
      <c r="AC267" s="56"/>
      <c r="AD267" s="56"/>
      <c r="AE267" s="56"/>
      <c r="AF267" s="56">
        <f t="shared" si="73"/>
        <v>1</v>
      </c>
      <c r="AG267" s="56">
        <f t="shared" si="74"/>
        <v>0</v>
      </c>
      <c r="AH267" s="56">
        <f t="shared" si="75"/>
        <v>1</v>
      </c>
      <c r="AI267" s="56">
        <f t="shared" si="76"/>
        <v>0</v>
      </c>
      <c r="AJ267" s="56">
        <f t="shared" si="77"/>
        <v>0</v>
      </c>
      <c r="AK267" s="56">
        <f t="shared" si="78"/>
        <v>0</v>
      </c>
      <c r="AL267" s="56">
        <f t="shared" si="79"/>
        <v>0</v>
      </c>
      <c r="AM267" s="56">
        <f t="shared" si="80"/>
        <v>0</v>
      </c>
      <c r="AN267" s="56">
        <f t="shared" si="81"/>
        <v>0</v>
      </c>
      <c r="AO267" s="58">
        <f t="shared" si="69"/>
        <v>1</v>
      </c>
      <c r="AP267" s="69"/>
      <c r="AQ267" s="40">
        <v>0</v>
      </c>
      <c r="AR267" s="40">
        <v>0</v>
      </c>
      <c r="AS267" s="44">
        <f t="shared" si="83"/>
        <v>0.25</v>
      </c>
      <c r="AT267" s="44">
        <f t="shared" si="83"/>
        <v>0.25</v>
      </c>
      <c r="AU267" s="44">
        <f t="shared" si="83"/>
        <v>0.25</v>
      </c>
      <c r="AV267" s="45">
        <f t="shared" si="83"/>
        <v>0.25</v>
      </c>
      <c r="AW267" s="44"/>
      <c r="AX267" s="44"/>
      <c r="AY267" s="44"/>
      <c r="AZ267" s="44"/>
      <c r="BA267" s="45"/>
      <c r="BB267" s="152">
        <f t="shared" si="82"/>
        <v>1</v>
      </c>
      <c r="BC267" s="43">
        <v>516557</v>
      </c>
      <c r="BD267" s="43">
        <v>175273</v>
      </c>
      <c r="BE267" t="s">
        <v>1488</v>
      </c>
      <c r="BF267"/>
    </row>
    <row r="268" spans="1:66" ht="15" customHeight="1" x14ac:dyDescent="0.25">
      <c r="A268" s="56" t="s">
        <v>777</v>
      </c>
      <c r="B268" s="19" t="s">
        <v>31</v>
      </c>
      <c r="C268" s="56" t="s">
        <v>1203</v>
      </c>
      <c r="D268" s="34">
        <v>43416</v>
      </c>
      <c r="E268" s="34">
        <v>44512</v>
      </c>
      <c r="F268" s="19"/>
      <c r="G268" s="19"/>
      <c r="H268" s="38" t="s">
        <v>1100</v>
      </c>
      <c r="I268" s="19" t="s">
        <v>1173</v>
      </c>
      <c r="J268" s="19"/>
      <c r="K268" s="56" t="s">
        <v>778</v>
      </c>
      <c r="L268" s="57" t="s">
        <v>779</v>
      </c>
      <c r="M268" s="56" t="s">
        <v>197</v>
      </c>
      <c r="N268" s="56"/>
      <c r="O268" s="56"/>
      <c r="P268" s="56"/>
      <c r="Q268" s="56"/>
      <c r="R268" s="56"/>
      <c r="S268" s="56"/>
      <c r="T268" s="56"/>
      <c r="U268" s="56"/>
      <c r="V268" s="56">
        <f t="shared" si="84"/>
        <v>0</v>
      </c>
      <c r="W268" s="56"/>
      <c r="X268" s="56"/>
      <c r="Y268" s="56"/>
      <c r="Z268" s="56">
        <v>1</v>
      </c>
      <c r="AA268" s="56"/>
      <c r="AB268" s="56"/>
      <c r="AC268" s="56"/>
      <c r="AD268" s="56"/>
      <c r="AE268" s="56"/>
      <c r="AF268" s="56">
        <f t="shared" si="73"/>
        <v>1</v>
      </c>
      <c r="AG268" s="56">
        <f t="shared" si="74"/>
        <v>0</v>
      </c>
      <c r="AH268" s="56">
        <f t="shared" si="75"/>
        <v>0</v>
      </c>
      <c r="AI268" s="56">
        <f t="shared" si="76"/>
        <v>1</v>
      </c>
      <c r="AJ268" s="56">
        <f t="shared" si="77"/>
        <v>0</v>
      </c>
      <c r="AK268" s="56">
        <f t="shared" si="78"/>
        <v>0</v>
      </c>
      <c r="AL268" s="56">
        <f t="shared" si="79"/>
        <v>0</v>
      </c>
      <c r="AM268" s="56">
        <f t="shared" si="80"/>
        <v>0</v>
      </c>
      <c r="AN268" s="56">
        <f t="shared" si="81"/>
        <v>0</v>
      </c>
      <c r="AO268" s="58">
        <f t="shared" si="69"/>
        <v>1</v>
      </c>
      <c r="AP268" s="69"/>
      <c r="AQ268" s="40">
        <v>0</v>
      </c>
      <c r="AR268" s="40">
        <v>0</v>
      </c>
      <c r="AS268" s="44">
        <f t="shared" si="83"/>
        <v>0.25</v>
      </c>
      <c r="AT268" s="44">
        <f t="shared" si="83"/>
        <v>0.25</v>
      </c>
      <c r="AU268" s="44">
        <f t="shared" si="83"/>
        <v>0.25</v>
      </c>
      <c r="AV268" s="45">
        <f t="shared" si="83"/>
        <v>0.25</v>
      </c>
      <c r="AW268" s="44"/>
      <c r="AX268" s="44"/>
      <c r="AY268" s="44"/>
      <c r="AZ268" s="44"/>
      <c r="BA268" s="45"/>
      <c r="BB268" s="152">
        <f t="shared" si="82"/>
        <v>1</v>
      </c>
      <c r="BC268" s="43">
        <v>520495</v>
      </c>
      <c r="BD268" s="43">
        <v>175597</v>
      </c>
      <c r="BE268" t="s">
        <v>1402</v>
      </c>
      <c r="BF268"/>
      <c r="BG268" t="s">
        <v>1402</v>
      </c>
      <c r="BM268" t="s">
        <v>1545</v>
      </c>
      <c r="BN268" t="s">
        <v>1495</v>
      </c>
    </row>
    <row r="269" spans="1:66" ht="15" customHeight="1" x14ac:dyDescent="0.25">
      <c r="A269" s="56" t="s">
        <v>780</v>
      </c>
      <c r="B269" s="19" t="s">
        <v>20</v>
      </c>
      <c r="C269" s="56"/>
      <c r="D269" s="34">
        <v>43542</v>
      </c>
      <c r="E269" s="34">
        <v>44638</v>
      </c>
      <c r="F269" s="19"/>
      <c r="G269" s="19"/>
      <c r="H269" s="38" t="s">
        <v>1100</v>
      </c>
      <c r="I269" s="19" t="s">
        <v>1173</v>
      </c>
      <c r="J269" s="19"/>
      <c r="K269" s="56" t="s">
        <v>781</v>
      </c>
      <c r="L269" s="57" t="s">
        <v>782</v>
      </c>
      <c r="M269" s="56" t="s">
        <v>783</v>
      </c>
      <c r="N269" s="56"/>
      <c r="O269" s="56"/>
      <c r="P269" s="56"/>
      <c r="Q269" s="56">
        <v>1</v>
      </c>
      <c r="R269" s="56"/>
      <c r="S269" s="56"/>
      <c r="T269" s="56"/>
      <c r="U269" s="56"/>
      <c r="V269" s="56">
        <f t="shared" si="84"/>
        <v>1</v>
      </c>
      <c r="W269" s="56"/>
      <c r="X269" s="56"/>
      <c r="Y269" s="56"/>
      <c r="Z269" s="56"/>
      <c r="AA269" s="56"/>
      <c r="AB269" s="56">
        <v>1</v>
      </c>
      <c r="AC269" s="56"/>
      <c r="AD269" s="56"/>
      <c r="AE269" s="56"/>
      <c r="AF269" s="56">
        <f t="shared" si="73"/>
        <v>1</v>
      </c>
      <c r="AG269" s="56">
        <f t="shared" si="74"/>
        <v>0</v>
      </c>
      <c r="AH269" s="56">
        <f t="shared" si="75"/>
        <v>0</v>
      </c>
      <c r="AI269" s="56">
        <f t="shared" si="76"/>
        <v>0</v>
      </c>
      <c r="AJ269" s="56">
        <f t="shared" si="77"/>
        <v>-1</v>
      </c>
      <c r="AK269" s="56">
        <f t="shared" si="78"/>
        <v>1</v>
      </c>
      <c r="AL269" s="56">
        <f t="shared" si="79"/>
        <v>0</v>
      </c>
      <c r="AM269" s="56">
        <f t="shared" si="80"/>
        <v>0</v>
      </c>
      <c r="AN269" s="56">
        <f t="shared" si="81"/>
        <v>0</v>
      </c>
      <c r="AO269" s="58">
        <f t="shared" ref="AO269:AO300" si="85">AF269-V269</f>
        <v>0</v>
      </c>
      <c r="AP269" s="69"/>
      <c r="AQ269" s="40">
        <v>0</v>
      </c>
      <c r="AR269" s="40">
        <v>0</v>
      </c>
      <c r="AS269" s="31">
        <v>0</v>
      </c>
      <c r="AT269" s="31">
        <v>0</v>
      </c>
      <c r="AU269" s="31">
        <v>0</v>
      </c>
      <c r="AV269" s="39">
        <v>0</v>
      </c>
      <c r="AW269" s="31"/>
      <c r="AX269" s="31"/>
      <c r="AY269" s="31"/>
      <c r="AZ269" s="31"/>
      <c r="BA269" s="39"/>
      <c r="BB269" s="152">
        <f t="shared" si="82"/>
        <v>0</v>
      </c>
      <c r="BC269" s="43">
        <v>521978</v>
      </c>
      <c r="BD269" s="43">
        <v>177062</v>
      </c>
      <c r="BE269" t="s">
        <v>1414</v>
      </c>
      <c r="BF269"/>
    </row>
    <row r="270" spans="1:66" ht="15" customHeight="1" x14ac:dyDescent="0.25">
      <c r="A270" s="56" t="s">
        <v>784</v>
      </c>
      <c r="B270" s="19" t="s">
        <v>38</v>
      </c>
      <c r="C270" s="56"/>
      <c r="D270" s="34">
        <v>43522</v>
      </c>
      <c r="E270" s="34">
        <v>44618</v>
      </c>
      <c r="F270" s="19"/>
      <c r="G270" s="19"/>
      <c r="H270" s="38" t="s">
        <v>1100</v>
      </c>
      <c r="I270" s="19" t="s">
        <v>1173</v>
      </c>
      <c r="J270" s="19"/>
      <c r="K270" s="56" t="s">
        <v>785</v>
      </c>
      <c r="L270" s="57" t="s">
        <v>786</v>
      </c>
      <c r="M270" s="56" t="s">
        <v>787</v>
      </c>
      <c r="N270" s="56"/>
      <c r="O270" s="56"/>
      <c r="P270" s="56">
        <v>1</v>
      </c>
      <c r="Q270" s="56"/>
      <c r="R270" s="56"/>
      <c r="S270" s="56"/>
      <c r="T270" s="56"/>
      <c r="U270" s="56"/>
      <c r="V270" s="56">
        <f t="shared" si="84"/>
        <v>1</v>
      </c>
      <c r="W270" s="56"/>
      <c r="X270" s="56">
        <v>2</v>
      </c>
      <c r="Y270" s="56"/>
      <c r="Z270" s="56"/>
      <c r="AA270" s="56"/>
      <c r="AB270" s="56"/>
      <c r="AC270" s="56"/>
      <c r="AD270" s="56"/>
      <c r="AE270" s="56">
        <v>0</v>
      </c>
      <c r="AF270" s="56">
        <f t="shared" si="73"/>
        <v>2</v>
      </c>
      <c r="AG270" s="56">
        <f t="shared" si="74"/>
        <v>2</v>
      </c>
      <c r="AH270" s="56">
        <f t="shared" si="75"/>
        <v>0</v>
      </c>
      <c r="AI270" s="56">
        <f t="shared" si="76"/>
        <v>-1</v>
      </c>
      <c r="AJ270" s="56">
        <f t="shared" si="77"/>
        <v>0</v>
      </c>
      <c r="AK270" s="56">
        <f t="shared" si="78"/>
        <v>0</v>
      </c>
      <c r="AL270" s="56">
        <f t="shared" si="79"/>
        <v>0</v>
      </c>
      <c r="AM270" s="56">
        <f t="shared" si="80"/>
        <v>0</v>
      </c>
      <c r="AN270" s="56">
        <f t="shared" si="81"/>
        <v>0</v>
      </c>
      <c r="AO270" s="58">
        <f t="shared" si="85"/>
        <v>1</v>
      </c>
      <c r="AP270" s="69"/>
      <c r="AQ270" s="40">
        <v>0</v>
      </c>
      <c r="AR270" s="40">
        <v>0</v>
      </c>
      <c r="AS270" s="44">
        <f t="shared" ref="AS270:AV273" si="86">$AO270/4</f>
        <v>0.25</v>
      </c>
      <c r="AT270" s="44">
        <f t="shared" si="86"/>
        <v>0.25</v>
      </c>
      <c r="AU270" s="44">
        <f t="shared" si="86"/>
        <v>0.25</v>
      </c>
      <c r="AV270" s="45">
        <f t="shared" si="86"/>
        <v>0.25</v>
      </c>
      <c r="AW270" s="44"/>
      <c r="AX270" s="44"/>
      <c r="AY270" s="44"/>
      <c r="AZ270" s="44"/>
      <c r="BA270" s="45"/>
      <c r="BB270" s="152">
        <f t="shared" si="82"/>
        <v>1</v>
      </c>
      <c r="BC270" s="43">
        <v>517894</v>
      </c>
      <c r="BD270" s="43">
        <v>174757</v>
      </c>
      <c r="BE270" t="s">
        <v>1423</v>
      </c>
      <c r="BF270"/>
      <c r="BG270" t="s">
        <v>1403</v>
      </c>
      <c r="BM270" t="s">
        <v>1545</v>
      </c>
      <c r="BN270" t="s">
        <v>1511</v>
      </c>
    </row>
    <row r="271" spans="1:66" ht="15" customHeight="1" x14ac:dyDescent="0.25">
      <c r="A271" s="56" t="s">
        <v>792</v>
      </c>
      <c r="B271" s="19" t="s">
        <v>31</v>
      </c>
      <c r="C271" s="56" t="s">
        <v>1203</v>
      </c>
      <c r="D271" s="34">
        <v>43462</v>
      </c>
      <c r="E271" s="34">
        <v>44558</v>
      </c>
      <c r="F271" s="19"/>
      <c r="G271" s="19"/>
      <c r="H271" s="38" t="s">
        <v>1100</v>
      </c>
      <c r="I271" s="19" t="s">
        <v>1173</v>
      </c>
      <c r="J271" s="19"/>
      <c r="K271" s="56" t="s">
        <v>793</v>
      </c>
      <c r="L271" s="57" t="s">
        <v>794</v>
      </c>
      <c r="M271" s="56" t="s">
        <v>795</v>
      </c>
      <c r="N271" s="56"/>
      <c r="O271" s="56"/>
      <c r="P271" s="56"/>
      <c r="Q271" s="56"/>
      <c r="R271" s="56"/>
      <c r="S271" s="56"/>
      <c r="T271" s="56"/>
      <c r="U271" s="56"/>
      <c r="V271" s="56">
        <f t="shared" si="84"/>
        <v>0</v>
      </c>
      <c r="W271" s="56"/>
      <c r="X271" s="56">
        <v>1</v>
      </c>
      <c r="Y271" s="56"/>
      <c r="Z271" s="56"/>
      <c r="AA271" s="56"/>
      <c r="AB271" s="56"/>
      <c r="AC271" s="56"/>
      <c r="AD271" s="56"/>
      <c r="AE271" s="56"/>
      <c r="AF271" s="56">
        <f t="shared" si="73"/>
        <v>1</v>
      </c>
      <c r="AG271" s="56">
        <f t="shared" si="74"/>
        <v>1</v>
      </c>
      <c r="AH271" s="56">
        <f t="shared" si="75"/>
        <v>0</v>
      </c>
      <c r="AI271" s="56">
        <f t="shared" si="76"/>
        <v>0</v>
      </c>
      <c r="AJ271" s="56">
        <f t="shared" si="77"/>
        <v>0</v>
      </c>
      <c r="AK271" s="56">
        <f t="shared" si="78"/>
        <v>0</v>
      </c>
      <c r="AL271" s="56">
        <f t="shared" si="79"/>
        <v>0</v>
      </c>
      <c r="AM271" s="56">
        <f t="shared" si="80"/>
        <v>0</v>
      </c>
      <c r="AN271" s="56">
        <f t="shared" si="81"/>
        <v>0</v>
      </c>
      <c r="AO271" s="58">
        <f t="shared" si="85"/>
        <v>1</v>
      </c>
      <c r="AP271" s="69"/>
      <c r="AQ271" s="40">
        <v>0</v>
      </c>
      <c r="AR271" s="40">
        <v>0</v>
      </c>
      <c r="AS271" s="44">
        <f t="shared" si="86"/>
        <v>0.25</v>
      </c>
      <c r="AT271" s="44">
        <f t="shared" si="86"/>
        <v>0.25</v>
      </c>
      <c r="AU271" s="44">
        <f t="shared" si="86"/>
        <v>0.25</v>
      </c>
      <c r="AV271" s="45">
        <f t="shared" si="86"/>
        <v>0.25</v>
      </c>
      <c r="AW271" s="44"/>
      <c r="AX271" s="44"/>
      <c r="AY271" s="44"/>
      <c r="AZ271" s="44"/>
      <c r="BA271" s="45"/>
      <c r="BB271" s="152">
        <f t="shared" si="82"/>
        <v>1</v>
      </c>
      <c r="BC271" s="43">
        <v>515394</v>
      </c>
      <c r="BD271" s="43">
        <v>171656</v>
      </c>
      <c r="BE271" t="s">
        <v>1458</v>
      </c>
      <c r="BF271"/>
    </row>
    <row r="272" spans="1:66" ht="15" customHeight="1" x14ac:dyDescent="0.25">
      <c r="A272" s="56" t="s">
        <v>796</v>
      </c>
      <c r="B272" s="19" t="s">
        <v>31</v>
      </c>
      <c r="C272" s="56"/>
      <c r="D272" s="34">
        <v>43504</v>
      </c>
      <c r="E272" s="34">
        <v>44600</v>
      </c>
      <c r="F272" s="19"/>
      <c r="G272" s="19"/>
      <c r="H272" s="38" t="s">
        <v>1100</v>
      </c>
      <c r="I272" s="19" t="s">
        <v>1173</v>
      </c>
      <c r="J272" s="19"/>
      <c r="K272" s="56" t="s">
        <v>797</v>
      </c>
      <c r="L272" s="57" t="s">
        <v>798</v>
      </c>
      <c r="M272" s="56" t="s">
        <v>799</v>
      </c>
      <c r="N272" s="56"/>
      <c r="O272" s="56"/>
      <c r="P272" s="56"/>
      <c r="Q272" s="56"/>
      <c r="R272" s="56"/>
      <c r="S272" s="56"/>
      <c r="T272" s="56"/>
      <c r="U272" s="56"/>
      <c r="V272" s="56">
        <f t="shared" si="84"/>
        <v>0</v>
      </c>
      <c r="W272" s="56"/>
      <c r="X272" s="56">
        <v>1</v>
      </c>
      <c r="Y272" s="56"/>
      <c r="Z272" s="56"/>
      <c r="AA272" s="56"/>
      <c r="AB272" s="56"/>
      <c r="AC272" s="56"/>
      <c r="AD272" s="56"/>
      <c r="AE272" s="56"/>
      <c r="AF272" s="56">
        <f t="shared" si="73"/>
        <v>1</v>
      </c>
      <c r="AG272" s="56">
        <f t="shared" si="74"/>
        <v>1</v>
      </c>
      <c r="AH272" s="56">
        <f t="shared" si="75"/>
        <v>0</v>
      </c>
      <c r="AI272" s="56">
        <f t="shared" si="76"/>
        <v>0</v>
      </c>
      <c r="AJ272" s="56">
        <f t="shared" si="77"/>
        <v>0</v>
      </c>
      <c r="AK272" s="56">
        <f t="shared" si="78"/>
        <v>0</v>
      </c>
      <c r="AL272" s="56">
        <f t="shared" si="79"/>
        <v>0</v>
      </c>
      <c r="AM272" s="56">
        <f t="shared" si="80"/>
        <v>0</v>
      </c>
      <c r="AN272" s="56">
        <f t="shared" si="81"/>
        <v>0</v>
      </c>
      <c r="AO272" s="58">
        <f t="shared" si="85"/>
        <v>1</v>
      </c>
      <c r="AP272" s="69"/>
      <c r="AQ272" s="40">
        <v>0</v>
      </c>
      <c r="AR272" s="40">
        <v>0</v>
      </c>
      <c r="AS272" s="44">
        <f t="shared" si="86"/>
        <v>0.25</v>
      </c>
      <c r="AT272" s="44">
        <f t="shared" si="86"/>
        <v>0.25</v>
      </c>
      <c r="AU272" s="44">
        <f t="shared" si="86"/>
        <v>0.25</v>
      </c>
      <c r="AV272" s="45">
        <f t="shared" si="86"/>
        <v>0.25</v>
      </c>
      <c r="AW272" s="44"/>
      <c r="AX272" s="44"/>
      <c r="AY272" s="44"/>
      <c r="AZ272" s="44"/>
      <c r="BA272" s="45"/>
      <c r="BB272" s="152">
        <f t="shared" si="82"/>
        <v>1</v>
      </c>
      <c r="BC272" s="43">
        <v>515502</v>
      </c>
      <c r="BD272" s="43">
        <v>173093</v>
      </c>
      <c r="BE272" t="s">
        <v>1424</v>
      </c>
      <c r="BF272"/>
      <c r="BI272" t="s">
        <v>1551</v>
      </c>
      <c r="BJ272" t="s">
        <v>1537</v>
      </c>
      <c r="BM272" t="s">
        <v>1545</v>
      </c>
      <c r="BN272" t="s">
        <v>1538</v>
      </c>
    </row>
    <row r="273" spans="1:66" ht="15" customHeight="1" x14ac:dyDescent="0.25">
      <c r="A273" s="56" t="s">
        <v>812</v>
      </c>
      <c r="B273" s="19" t="s">
        <v>20</v>
      </c>
      <c r="C273" s="56"/>
      <c r="D273" s="34">
        <v>43755</v>
      </c>
      <c r="E273" s="34">
        <v>44851</v>
      </c>
      <c r="F273" s="19"/>
      <c r="G273" s="19"/>
      <c r="H273" s="38" t="s">
        <v>1100</v>
      </c>
      <c r="I273" s="19" t="s">
        <v>1173</v>
      </c>
      <c r="J273" s="19"/>
      <c r="K273" s="56" t="s">
        <v>813</v>
      </c>
      <c r="L273" s="57" t="s">
        <v>814</v>
      </c>
      <c r="M273" s="56" t="s">
        <v>815</v>
      </c>
      <c r="N273" s="56"/>
      <c r="O273" s="56"/>
      <c r="P273" s="56"/>
      <c r="Q273" s="56"/>
      <c r="R273" s="56"/>
      <c r="S273" s="56"/>
      <c r="T273" s="56"/>
      <c r="U273" s="56"/>
      <c r="V273" s="56">
        <f t="shared" si="84"/>
        <v>0</v>
      </c>
      <c r="W273" s="56"/>
      <c r="X273" s="56"/>
      <c r="Y273" s="56"/>
      <c r="Z273" s="56"/>
      <c r="AA273" s="56">
        <v>1</v>
      </c>
      <c r="AB273" s="56"/>
      <c r="AC273" s="56"/>
      <c r="AD273" s="56"/>
      <c r="AE273" s="56"/>
      <c r="AF273" s="56">
        <f t="shared" si="73"/>
        <v>1</v>
      </c>
      <c r="AG273" s="56">
        <f t="shared" si="74"/>
        <v>0</v>
      </c>
      <c r="AH273" s="56">
        <f t="shared" si="75"/>
        <v>0</v>
      </c>
      <c r="AI273" s="56">
        <f t="shared" si="76"/>
        <v>0</v>
      </c>
      <c r="AJ273" s="56">
        <f t="shared" si="77"/>
        <v>1</v>
      </c>
      <c r="AK273" s="56">
        <f t="shared" si="78"/>
        <v>0</v>
      </c>
      <c r="AL273" s="56">
        <f t="shared" si="79"/>
        <v>0</v>
      </c>
      <c r="AM273" s="56">
        <f t="shared" si="80"/>
        <v>0</v>
      </c>
      <c r="AN273" s="56">
        <f t="shared" si="81"/>
        <v>0</v>
      </c>
      <c r="AO273" s="58">
        <f t="shared" si="85"/>
        <v>1</v>
      </c>
      <c r="AP273" s="69"/>
      <c r="AQ273" s="40">
        <v>0</v>
      </c>
      <c r="AR273" s="40">
        <v>0</v>
      </c>
      <c r="AS273" s="44">
        <f t="shared" si="86"/>
        <v>0.25</v>
      </c>
      <c r="AT273" s="44">
        <f t="shared" si="86"/>
        <v>0.25</v>
      </c>
      <c r="AU273" s="44">
        <f t="shared" si="86"/>
        <v>0.25</v>
      </c>
      <c r="AV273" s="45">
        <f t="shared" si="86"/>
        <v>0.25</v>
      </c>
      <c r="AW273" s="44"/>
      <c r="AX273" s="44"/>
      <c r="AY273" s="44"/>
      <c r="AZ273" s="44"/>
      <c r="BA273" s="45"/>
      <c r="BB273" s="152">
        <f t="shared" si="82"/>
        <v>1</v>
      </c>
      <c r="BC273" s="43">
        <v>516550</v>
      </c>
      <c r="BD273" s="43">
        <v>171027</v>
      </c>
      <c r="BE273" t="s">
        <v>1418</v>
      </c>
      <c r="BF273" t="s">
        <v>1410</v>
      </c>
    </row>
    <row r="274" spans="1:66" ht="15" customHeight="1" x14ac:dyDescent="0.25">
      <c r="A274" s="56" t="s">
        <v>820</v>
      </c>
      <c r="B274" s="19" t="s">
        <v>31</v>
      </c>
      <c r="C274" s="56"/>
      <c r="D274" s="34">
        <v>43661</v>
      </c>
      <c r="E274" s="34">
        <v>44757</v>
      </c>
      <c r="F274" s="19"/>
      <c r="G274" s="19"/>
      <c r="H274" s="58" t="s">
        <v>1100</v>
      </c>
      <c r="I274" s="19" t="s">
        <v>1215</v>
      </c>
      <c r="J274" s="19"/>
      <c r="K274" s="56" t="s">
        <v>821</v>
      </c>
      <c r="L274" s="57" t="s">
        <v>822</v>
      </c>
      <c r="M274" s="56" t="s">
        <v>823</v>
      </c>
      <c r="N274" s="56"/>
      <c r="O274" s="56"/>
      <c r="P274" s="56"/>
      <c r="Q274" s="56"/>
      <c r="R274" s="56"/>
      <c r="S274" s="56"/>
      <c r="T274" s="56"/>
      <c r="U274" s="56"/>
      <c r="V274" s="56">
        <f t="shared" si="84"/>
        <v>0</v>
      </c>
      <c r="W274" s="56" t="s">
        <v>121</v>
      </c>
      <c r="X274" s="56"/>
      <c r="Y274" s="56">
        <v>7</v>
      </c>
      <c r="Z274" s="56">
        <v>3</v>
      </c>
      <c r="AA274" s="56">
        <v>1</v>
      </c>
      <c r="AB274" s="56"/>
      <c r="AC274" s="56"/>
      <c r="AD274" s="56"/>
      <c r="AE274" s="56"/>
      <c r="AF274" s="56">
        <f t="shared" si="73"/>
        <v>11</v>
      </c>
      <c r="AG274" s="56">
        <f t="shared" si="74"/>
        <v>0</v>
      </c>
      <c r="AH274" s="56">
        <f t="shared" si="75"/>
        <v>7</v>
      </c>
      <c r="AI274" s="56">
        <f t="shared" si="76"/>
        <v>3</v>
      </c>
      <c r="AJ274" s="56">
        <f t="shared" si="77"/>
        <v>1</v>
      </c>
      <c r="AK274" s="56">
        <f t="shared" si="78"/>
        <v>0</v>
      </c>
      <c r="AL274" s="56">
        <f t="shared" si="79"/>
        <v>0</v>
      </c>
      <c r="AM274" s="56">
        <f t="shared" si="80"/>
        <v>0</v>
      </c>
      <c r="AN274" s="56">
        <f t="shared" si="81"/>
        <v>0</v>
      </c>
      <c r="AO274" s="58">
        <f t="shared" si="85"/>
        <v>11</v>
      </c>
      <c r="AP274" s="69"/>
      <c r="AQ274" s="40">
        <v>0</v>
      </c>
      <c r="AR274" s="40">
        <v>0</v>
      </c>
      <c r="AS274" s="31">
        <v>0</v>
      </c>
      <c r="AT274" s="31">
        <f t="shared" ref="AT274:AU276" si="87">$AO274/2</f>
        <v>5.5</v>
      </c>
      <c r="AU274" s="31">
        <f t="shared" si="87"/>
        <v>5.5</v>
      </c>
      <c r="AV274" s="39">
        <v>0</v>
      </c>
      <c r="AW274" s="31"/>
      <c r="AX274" s="31"/>
      <c r="AY274" s="31"/>
      <c r="AZ274" s="31"/>
      <c r="BA274" s="39"/>
      <c r="BB274" s="152">
        <f t="shared" si="82"/>
        <v>11</v>
      </c>
      <c r="BC274" s="43">
        <v>518144</v>
      </c>
      <c r="BD274" s="43">
        <v>175553</v>
      </c>
      <c r="BE274" t="s">
        <v>1422</v>
      </c>
      <c r="BF274"/>
      <c r="BM274" t="s">
        <v>1545</v>
      </c>
      <c r="BN274" t="s">
        <v>1539</v>
      </c>
    </row>
    <row r="275" spans="1:66" ht="15" customHeight="1" x14ac:dyDescent="0.25">
      <c r="A275" s="56" t="s">
        <v>820</v>
      </c>
      <c r="B275" s="19" t="s">
        <v>31</v>
      </c>
      <c r="C275" s="56"/>
      <c r="D275" s="34">
        <v>43661</v>
      </c>
      <c r="E275" s="34">
        <v>44757</v>
      </c>
      <c r="F275" s="19"/>
      <c r="G275" s="19"/>
      <c r="H275" s="58" t="s">
        <v>1100</v>
      </c>
      <c r="I275" s="19" t="s">
        <v>1174</v>
      </c>
      <c r="J275" s="19"/>
      <c r="K275" s="56" t="s">
        <v>821</v>
      </c>
      <c r="L275" s="57" t="s">
        <v>822</v>
      </c>
      <c r="M275" s="56" t="s">
        <v>823</v>
      </c>
      <c r="N275" s="56"/>
      <c r="O275" s="56"/>
      <c r="P275" s="56"/>
      <c r="Q275" s="56"/>
      <c r="R275" s="56"/>
      <c r="S275" s="56"/>
      <c r="T275" s="56"/>
      <c r="U275" s="56"/>
      <c r="V275" s="56">
        <f t="shared" si="84"/>
        <v>0</v>
      </c>
      <c r="W275" s="56" t="s">
        <v>121</v>
      </c>
      <c r="X275" s="56">
        <v>4</v>
      </c>
      <c r="Y275" s="56"/>
      <c r="Z275" s="56"/>
      <c r="AA275" s="56"/>
      <c r="AB275" s="56"/>
      <c r="AC275" s="56"/>
      <c r="AD275" s="56"/>
      <c r="AE275" s="56"/>
      <c r="AF275" s="56">
        <f t="shared" si="73"/>
        <v>4</v>
      </c>
      <c r="AG275" s="56">
        <f t="shared" si="74"/>
        <v>4</v>
      </c>
      <c r="AH275" s="56">
        <f t="shared" si="75"/>
        <v>0</v>
      </c>
      <c r="AI275" s="56">
        <f t="shared" si="76"/>
        <v>0</v>
      </c>
      <c r="AJ275" s="56">
        <f t="shared" si="77"/>
        <v>0</v>
      </c>
      <c r="AK275" s="56">
        <f t="shared" si="78"/>
        <v>0</v>
      </c>
      <c r="AL275" s="56">
        <f t="shared" si="79"/>
        <v>0</v>
      </c>
      <c r="AM275" s="56">
        <f t="shared" si="80"/>
        <v>0</v>
      </c>
      <c r="AN275" s="56">
        <f t="shared" si="81"/>
        <v>0</v>
      </c>
      <c r="AO275" s="58">
        <f t="shared" si="85"/>
        <v>4</v>
      </c>
      <c r="AP275" s="69"/>
      <c r="AQ275" s="40">
        <v>0</v>
      </c>
      <c r="AR275" s="40">
        <v>0</v>
      </c>
      <c r="AS275" s="31">
        <v>0</v>
      </c>
      <c r="AT275" s="31">
        <f t="shared" si="87"/>
        <v>2</v>
      </c>
      <c r="AU275" s="31">
        <f t="shared" si="87"/>
        <v>2</v>
      </c>
      <c r="AV275" s="39">
        <v>0</v>
      </c>
      <c r="AW275" s="31"/>
      <c r="AX275" s="31"/>
      <c r="AY275" s="31"/>
      <c r="AZ275" s="31"/>
      <c r="BA275" s="39"/>
      <c r="BB275" s="152">
        <f t="shared" si="82"/>
        <v>4</v>
      </c>
      <c r="BC275" s="43">
        <v>518144</v>
      </c>
      <c r="BD275" s="43">
        <v>175553</v>
      </c>
      <c r="BE275" t="s">
        <v>1422</v>
      </c>
      <c r="BF275"/>
      <c r="BM275" t="s">
        <v>1545</v>
      </c>
      <c r="BN275" t="s">
        <v>1539</v>
      </c>
    </row>
    <row r="276" spans="1:66" ht="15" customHeight="1" x14ac:dyDescent="0.25">
      <c r="A276" s="56" t="s">
        <v>820</v>
      </c>
      <c r="B276" s="19" t="s">
        <v>31</v>
      </c>
      <c r="C276" s="56"/>
      <c r="D276" s="34">
        <v>43661</v>
      </c>
      <c r="E276" s="34">
        <v>44757</v>
      </c>
      <c r="F276" s="19"/>
      <c r="G276" s="19"/>
      <c r="H276" s="58" t="s">
        <v>1100</v>
      </c>
      <c r="I276" s="19" t="s">
        <v>1173</v>
      </c>
      <c r="J276" s="19"/>
      <c r="K276" s="56" t="s">
        <v>821</v>
      </c>
      <c r="L276" s="57" t="s">
        <v>822</v>
      </c>
      <c r="M276" s="56" t="s">
        <v>823</v>
      </c>
      <c r="N276" s="56"/>
      <c r="O276" s="56"/>
      <c r="P276" s="56"/>
      <c r="Q276" s="56"/>
      <c r="R276" s="56"/>
      <c r="S276" s="56"/>
      <c r="T276" s="56"/>
      <c r="U276" s="56"/>
      <c r="V276" s="56">
        <f t="shared" si="84"/>
        <v>0</v>
      </c>
      <c r="W276" s="56"/>
      <c r="X276" s="56">
        <v>21</v>
      </c>
      <c r="Y276" s="56">
        <v>31</v>
      </c>
      <c r="Z276" s="56">
        <v>2</v>
      </c>
      <c r="AA276" s="56">
        <v>2</v>
      </c>
      <c r="AB276" s="56"/>
      <c r="AC276" s="56"/>
      <c r="AD276" s="56"/>
      <c r="AE276" s="56"/>
      <c r="AF276" s="56">
        <f t="shared" si="73"/>
        <v>56</v>
      </c>
      <c r="AG276" s="56">
        <f t="shared" si="74"/>
        <v>21</v>
      </c>
      <c r="AH276" s="56">
        <f t="shared" si="75"/>
        <v>31</v>
      </c>
      <c r="AI276" s="56">
        <f t="shared" si="76"/>
        <v>2</v>
      </c>
      <c r="AJ276" s="56">
        <f t="shared" si="77"/>
        <v>2</v>
      </c>
      <c r="AK276" s="56">
        <f t="shared" si="78"/>
        <v>0</v>
      </c>
      <c r="AL276" s="56">
        <f t="shared" si="79"/>
        <v>0</v>
      </c>
      <c r="AM276" s="56">
        <f t="shared" si="80"/>
        <v>0</v>
      </c>
      <c r="AN276" s="56">
        <f t="shared" si="81"/>
        <v>0</v>
      </c>
      <c r="AO276" s="58">
        <f t="shared" si="85"/>
        <v>56</v>
      </c>
      <c r="AP276" s="69"/>
      <c r="AQ276" s="40">
        <v>0</v>
      </c>
      <c r="AR276" s="40">
        <v>0</v>
      </c>
      <c r="AS276" s="31">
        <v>0</v>
      </c>
      <c r="AT276" s="31">
        <f t="shared" si="87"/>
        <v>28</v>
      </c>
      <c r="AU276" s="31">
        <f t="shared" si="87"/>
        <v>28</v>
      </c>
      <c r="AV276" s="39">
        <v>0</v>
      </c>
      <c r="AW276" s="31"/>
      <c r="AX276" s="31"/>
      <c r="AY276" s="31"/>
      <c r="AZ276" s="31"/>
      <c r="BA276" s="39"/>
      <c r="BB276" s="152">
        <f t="shared" si="82"/>
        <v>56</v>
      </c>
      <c r="BC276" s="43">
        <v>518144</v>
      </c>
      <c r="BD276" s="43">
        <v>175553</v>
      </c>
      <c r="BE276" t="s">
        <v>1422</v>
      </c>
      <c r="BF276"/>
      <c r="BM276" t="s">
        <v>1545</v>
      </c>
      <c r="BN276" t="s">
        <v>1539</v>
      </c>
    </row>
    <row r="277" spans="1:66" ht="15" customHeight="1" x14ac:dyDescent="0.25">
      <c r="A277" s="56" t="s">
        <v>824</v>
      </c>
      <c r="B277" s="19" t="s">
        <v>20</v>
      </c>
      <c r="C277" s="56"/>
      <c r="D277" s="34">
        <v>43553</v>
      </c>
      <c r="E277" s="34">
        <v>44652</v>
      </c>
      <c r="F277" s="19"/>
      <c r="G277" s="19"/>
      <c r="H277" s="38" t="s">
        <v>1100</v>
      </c>
      <c r="I277" s="19" t="s">
        <v>1173</v>
      </c>
      <c r="J277" s="19"/>
      <c r="K277" s="56" t="s">
        <v>825</v>
      </c>
      <c r="L277" s="57" t="s">
        <v>826</v>
      </c>
      <c r="M277" s="56" t="s">
        <v>827</v>
      </c>
      <c r="N277" s="56"/>
      <c r="O277" s="56"/>
      <c r="P277" s="56"/>
      <c r="Q277" s="56"/>
      <c r="R277" s="56">
        <v>1</v>
      </c>
      <c r="S277" s="56"/>
      <c r="T277" s="56"/>
      <c r="U277" s="56"/>
      <c r="V277" s="56">
        <f t="shared" si="84"/>
        <v>1</v>
      </c>
      <c r="W277" s="56"/>
      <c r="X277" s="56"/>
      <c r="Y277" s="56"/>
      <c r="Z277" s="56"/>
      <c r="AA277" s="56"/>
      <c r="AB277" s="56">
        <v>1</v>
      </c>
      <c r="AC277" s="56"/>
      <c r="AD277" s="56"/>
      <c r="AE277" s="56"/>
      <c r="AF277" s="56">
        <f t="shared" si="73"/>
        <v>1</v>
      </c>
      <c r="AG277" s="56">
        <f t="shared" si="74"/>
        <v>0</v>
      </c>
      <c r="AH277" s="56">
        <f t="shared" si="75"/>
        <v>0</v>
      </c>
      <c r="AI277" s="56">
        <f t="shared" si="76"/>
        <v>0</v>
      </c>
      <c r="AJ277" s="56">
        <f t="shared" si="77"/>
        <v>0</v>
      </c>
      <c r="AK277" s="56">
        <f t="shared" si="78"/>
        <v>0</v>
      </c>
      <c r="AL277" s="56">
        <f t="shared" si="79"/>
        <v>0</v>
      </c>
      <c r="AM277" s="56">
        <f t="shared" si="80"/>
        <v>0</v>
      </c>
      <c r="AN277" s="56">
        <f t="shared" si="81"/>
        <v>0</v>
      </c>
      <c r="AO277" s="58">
        <f t="shared" si="85"/>
        <v>0</v>
      </c>
      <c r="AP277" s="69"/>
      <c r="AQ277" s="40">
        <v>0</v>
      </c>
      <c r="AR277" s="40">
        <v>0</v>
      </c>
      <c r="AS277" s="31">
        <v>0</v>
      </c>
      <c r="AT277" s="31">
        <v>0</v>
      </c>
      <c r="AU277" s="31">
        <v>0</v>
      </c>
      <c r="AV277" s="39">
        <v>0</v>
      </c>
      <c r="AW277" s="31"/>
      <c r="AX277" s="31"/>
      <c r="AY277" s="31"/>
      <c r="AZ277" s="31"/>
      <c r="BA277" s="39"/>
      <c r="BB277" s="152">
        <f t="shared" si="82"/>
        <v>0</v>
      </c>
      <c r="BC277" s="43">
        <v>513943</v>
      </c>
      <c r="BD277" s="43">
        <v>170016</v>
      </c>
      <c r="BE277" t="s">
        <v>1417</v>
      </c>
      <c r="BF277"/>
    </row>
    <row r="278" spans="1:66" ht="15" customHeight="1" x14ac:dyDescent="0.25">
      <c r="A278" s="56" t="s">
        <v>828</v>
      </c>
      <c r="B278" s="19" t="s">
        <v>20</v>
      </c>
      <c r="C278" s="56"/>
      <c r="D278" s="34">
        <v>43654</v>
      </c>
      <c r="E278" s="34">
        <v>44736</v>
      </c>
      <c r="F278" s="19"/>
      <c r="G278" s="19"/>
      <c r="H278" s="38" t="s">
        <v>1100</v>
      </c>
      <c r="I278" s="19" t="s">
        <v>1173</v>
      </c>
      <c r="J278" s="19"/>
      <c r="K278" s="56" t="s">
        <v>829</v>
      </c>
      <c r="L278" s="57" t="s">
        <v>830</v>
      </c>
      <c r="M278" s="56" t="s">
        <v>831</v>
      </c>
      <c r="N278" s="56"/>
      <c r="O278" s="56"/>
      <c r="P278" s="56"/>
      <c r="Q278" s="56">
        <v>1</v>
      </c>
      <c r="R278" s="56"/>
      <c r="S278" s="56"/>
      <c r="T278" s="56"/>
      <c r="U278" s="56"/>
      <c r="V278" s="56">
        <f t="shared" si="84"/>
        <v>1</v>
      </c>
      <c r="W278" s="56"/>
      <c r="X278" s="56"/>
      <c r="Y278" s="56"/>
      <c r="Z278" s="56"/>
      <c r="AA278" s="56"/>
      <c r="AB278" s="56"/>
      <c r="AC278" s="56"/>
      <c r="AD278" s="56">
        <v>1</v>
      </c>
      <c r="AE278" s="56"/>
      <c r="AF278" s="56">
        <f t="shared" si="73"/>
        <v>1</v>
      </c>
      <c r="AG278" s="56">
        <f t="shared" si="74"/>
        <v>0</v>
      </c>
      <c r="AH278" s="56">
        <f t="shared" si="75"/>
        <v>0</v>
      </c>
      <c r="AI278" s="56">
        <f t="shared" si="76"/>
        <v>0</v>
      </c>
      <c r="AJ278" s="56">
        <f t="shared" si="77"/>
        <v>-1</v>
      </c>
      <c r="AK278" s="56">
        <f t="shared" si="78"/>
        <v>0</v>
      </c>
      <c r="AL278" s="56">
        <f t="shared" si="79"/>
        <v>0</v>
      </c>
      <c r="AM278" s="56">
        <f t="shared" si="80"/>
        <v>1</v>
      </c>
      <c r="AN278" s="56">
        <f t="shared" si="81"/>
        <v>0</v>
      </c>
      <c r="AO278" s="58">
        <f t="shared" si="85"/>
        <v>0</v>
      </c>
      <c r="AP278" s="69"/>
      <c r="AQ278" s="40">
        <v>0</v>
      </c>
      <c r="AR278" s="40">
        <v>0</v>
      </c>
      <c r="AS278" s="31">
        <v>0</v>
      </c>
      <c r="AT278" s="31">
        <v>0</v>
      </c>
      <c r="AU278" s="31">
        <v>0</v>
      </c>
      <c r="AV278" s="39">
        <v>0</v>
      </c>
      <c r="AW278" s="31"/>
      <c r="AX278" s="31"/>
      <c r="AY278" s="31"/>
      <c r="AZ278" s="31"/>
      <c r="BA278" s="39"/>
      <c r="BB278" s="152">
        <f t="shared" si="82"/>
        <v>0</v>
      </c>
      <c r="BC278" s="43">
        <v>519436</v>
      </c>
      <c r="BD278" s="43">
        <v>174990</v>
      </c>
      <c r="BE278" t="s">
        <v>1423</v>
      </c>
      <c r="BF278"/>
      <c r="BM278" t="s">
        <v>1545</v>
      </c>
      <c r="BN278" t="s">
        <v>1533</v>
      </c>
    </row>
    <row r="279" spans="1:66" ht="15" customHeight="1" x14ac:dyDescent="0.25">
      <c r="A279" s="56" t="s">
        <v>832</v>
      </c>
      <c r="B279" s="19" t="s">
        <v>38</v>
      </c>
      <c r="C279" s="56"/>
      <c r="D279" s="34">
        <v>43502</v>
      </c>
      <c r="E279" s="34">
        <v>44598</v>
      </c>
      <c r="F279" s="19"/>
      <c r="G279" s="19"/>
      <c r="H279" s="38" t="s">
        <v>1100</v>
      </c>
      <c r="I279" s="19" t="s">
        <v>1173</v>
      </c>
      <c r="J279" s="19"/>
      <c r="K279" s="56" t="s">
        <v>833</v>
      </c>
      <c r="L279" s="57" t="s">
        <v>834</v>
      </c>
      <c r="M279" s="56" t="s">
        <v>835</v>
      </c>
      <c r="N279" s="56"/>
      <c r="O279" s="56">
        <v>1</v>
      </c>
      <c r="P279" s="56">
        <v>1</v>
      </c>
      <c r="Q279" s="56"/>
      <c r="R279" s="56"/>
      <c r="S279" s="56"/>
      <c r="T279" s="56"/>
      <c r="U279" s="56"/>
      <c r="V279" s="56">
        <f t="shared" si="84"/>
        <v>2</v>
      </c>
      <c r="W279" s="56"/>
      <c r="X279" s="56">
        <v>2</v>
      </c>
      <c r="Y279" s="56">
        <v>1</v>
      </c>
      <c r="Z279" s="56">
        <v>1</v>
      </c>
      <c r="AA279" s="56"/>
      <c r="AB279" s="56"/>
      <c r="AC279" s="56"/>
      <c r="AD279" s="56"/>
      <c r="AE279" s="56"/>
      <c r="AF279" s="56">
        <f t="shared" si="73"/>
        <v>4</v>
      </c>
      <c r="AG279" s="56">
        <f t="shared" si="74"/>
        <v>2</v>
      </c>
      <c r="AH279" s="56">
        <f t="shared" si="75"/>
        <v>0</v>
      </c>
      <c r="AI279" s="56">
        <f t="shared" si="76"/>
        <v>0</v>
      </c>
      <c r="AJ279" s="56">
        <f t="shared" si="77"/>
        <v>0</v>
      </c>
      <c r="AK279" s="56">
        <f t="shared" si="78"/>
        <v>0</v>
      </c>
      <c r="AL279" s="56">
        <f t="shared" si="79"/>
        <v>0</v>
      </c>
      <c r="AM279" s="56">
        <f t="shared" si="80"/>
        <v>0</v>
      </c>
      <c r="AN279" s="56">
        <f t="shared" si="81"/>
        <v>0</v>
      </c>
      <c r="AO279" s="58">
        <f t="shared" si="85"/>
        <v>2</v>
      </c>
      <c r="AP279" s="69"/>
      <c r="AQ279" s="40">
        <v>0</v>
      </c>
      <c r="AR279" s="40">
        <v>0</v>
      </c>
      <c r="AS279" s="31">
        <f>$AO279/4</f>
        <v>0.5</v>
      </c>
      <c r="AT279" s="31">
        <f>$AO279/4</f>
        <v>0.5</v>
      </c>
      <c r="AU279" s="31">
        <f>$AO279/4</f>
        <v>0.5</v>
      </c>
      <c r="AV279" s="39">
        <f>$AO279/4</f>
        <v>0.5</v>
      </c>
      <c r="AW279" s="31"/>
      <c r="AX279" s="31"/>
      <c r="AY279" s="31"/>
      <c r="AZ279" s="31"/>
      <c r="BA279" s="39"/>
      <c r="BB279" s="152">
        <f t="shared" si="82"/>
        <v>2</v>
      </c>
      <c r="BC279" s="43">
        <v>514632</v>
      </c>
      <c r="BD279" s="43">
        <v>171370</v>
      </c>
      <c r="BE279" t="s">
        <v>1458</v>
      </c>
      <c r="BF279"/>
    </row>
    <row r="280" spans="1:66" ht="15" customHeight="1" x14ac:dyDescent="0.25">
      <c r="A280" s="56" t="s">
        <v>836</v>
      </c>
      <c r="B280" s="19" t="s">
        <v>20</v>
      </c>
      <c r="C280" s="56"/>
      <c r="D280" s="34">
        <v>43780</v>
      </c>
      <c r="E280" s="34">
        <v>44876</v>
      </c>
      <c r="F280" s="37">
        <v>43935</v>
      </c>
      <c r="G280" s="19"/>
      <c r="H280" s="36" t="s">
        <v>1100</v>
      </c>
      <c r="I280" s="19" t="s">
        <v>1173</v>
      </c>
      <c r="J280" s="19"/>
      <c r="K280" s="56" t="s">
        <v>837</v>
      </c>
      <c r="L280" s="57" t="s">
        <v>838</v>
      </c>
      <c r="M280" s="56" t="s">
        <v>839</v>
      </c>
      <c r="N280" s="56"/>
      <c r="O280" s="56"/>
      <c r="P280" s="56"/>
      <c r="Q280" s="56"/>
      <c r="R280" s="56">
        <v>1</v>
      </c>
      <c r="S280" s="56"/>
      <c r="T280" s="56"/>
      <c r="U280" s="56"/>
      <c r="V280" s="56">
        <f t="shared" si="84"/>
        <v>1</v>
      </c>
      <c r="W280" s="56"/>
      <c r="X280" s="56"/>
      <c r="Y280" s="56"/>
      <c r="Z280" s="56"/>
      <c r="AA280" s="56"/>
      <c r="AB280" s="56">
        <v>1</v>
      </c>
      <c r="AC280" s="56"/>
      <c r="AD280" s="56"/>
      <c r="AE280" s="56"/>
      <c r="AF280" s="56">
        <f t="shared" si="73"/>
        <v>1</v>
      </c>
      <c r="AG280" s="56">
        <f t="shared" si="74"/>
        <v>0</v>
      </c>
      <c r="AH280" s="56">
        <f t="shared" si="75"/>
        <v>0</v>
      </c>
      <c r="AI280" s="56">
        <f t="shared" si="76"/>
        <v>0</v>
      </c>
      <c r="AJ280" s="56">
        <f t="shared" si="77"/>
        <v>0</v>
      </c>
      <c r="AK280" s="56">
        <f t="shared" si="78"/>
        <v>0</v>
      </c>
      <c r="AL280" s="56">
        <f t="shared" si="79"/>
        <v>0</v>
      </c>
      <c r="AM280" s="56">
        <f t="shared" si="80"/>
        <v>0</v>
      </c>
      <c r="AN280" s="56">
        <f t="shared" si="81"/>
        <v>0</v>
      </c>
      <c r="AO280" s="58">
        <f t="shared" si="85"/>
        <v>0</v>
      </c>
      <c r="AP280" s="69"/>
      <c r="AQ280" s="40">
        <v>0</v>
      </c>
      <c r="AR280" s="40">
        <v>0</v>
      </c>
      <c r="AS280" s="31">
        <v>0</v>
      </c>
      <c r="AT280" s="31">
        <v>0</v>
      </c>
      <c r="AU280" s="31">
        <v>0</v>
      </c>
      <c r="AV280" s="39">
        <v>0</v>
      </c>
      <c r="AW280" s="31"/>
      <c r="AX280" s="31"/>
      <c r="AY280" s="31"/>
      <c r="AZ280" s="31"/>
      <c r="BA280" s="39"/>
      <c r="BB280" s="152">
        <f t="shared" si="82"/>
        <v>0</v>
      </c>
      <c r="BC280" s="43">
        <v>519487</v>
      </c>
      <c r="BD280" s="43">
        <v>176661</v>
      </c>
      <c r="BE280" t="s">
        <v>1420</v>
      </c>
      <c r="BF280"/>
    </row>
    <row r="281" spans="1:66" ht="15" customHeight="1" x14ac:dyDescent="0.25">
      <c r="A281" s="56" t="s">
        <v>840</v>
      </c>
      <c r="B281" s="19" t="s">
        <v>20</v>
      </c>
      <c r="C281" s="56"/>
      <c r="D281" s="34">
        <v>43671</v>
      </c>
      <c r="E281" s="34">
        <v>44767</v>
      </c>
      <c r="F281" s="19"/>
      <c r="G281" s="19"/>
      <c r="H281" s="38" t="s">
        <v>1100</v>
      </c>
      <c r="I281" s="19" t="s">
        <v>1173</v>
      </c>
      <c r="J281" s="19"/>
      <c r="K281" s="56" t="s">
        <v>841</v>
      </c>
      <c r="L281" s="57" t="s">
        <v>842</v>
      </c>
      <c r="M281" s="56" t="s">
        <v>843</v>
      </c>
      <c r="N281" s="56"/>
      <c r="O281" s="56"/>
      <c r="P281" s="56"/>
      <c r="Q281" s="56"/>
      <c r="R281" s="56"/>
      <c r="S281" s="56"/>
      <c r="T281" s="56"/>
      <c r="U281" s="56"/>
      <c r="V281" s="56">
        <f t="shared" si="84"/>
        <v>0</v>
      </c>
      <c r="W281" s="56"/>
      <c r="X281" s="56"/>
      <c r="Y281" s="56"/>
      <c r="Z281" s="56">
        <v>1</v>
      </c>
      <c r="AA281" s="56"/>
      <c r="AB281" s="56"/>
      <c r="AC281" s="56"/>
      <c r="AD281" s="56"/>
      <c r="AE281" s="56"/>
      <c r="AF281" s="56">
        <f t="shared" si="73"/>
        <v>1</v>
      </c>
      <c r="AG281" s="56">
        <f t="shared" si="74"/>
        <v>0</v>
      </c>
      <c r="AH281" s="56">
        <f t="shared" si="75"/>
        <v>0</v>
      </c>
      <c r="AI281" s="56">
        <f t="shared" si="76"/>
        <v>1</v>
      </c>
      <c r="AJ281" s="56">
        <f t="shared" si="77"/>
        <v>0</v>
      </c>
      <c r="AK281" s="56">
        <f t="shared" si="78"/>
        <v>0</v>
      </c>
      <c r="AL281" s="56">
        <f t="shared" si="79"/>
        <v>0</v>
      </c>
      <c r="AM281" s="56">
        <f t="shared" si="80"/>
        <v>0</v>
      </c>
      <c r="AN281" s="56">
        <f t="shared" si="81"/>
        <v>0</v>
      </c>
      <c r="AO281" s="58">
        <f t="shared" si="85"/>
        <v>1</v>
      </c>
      <c r="AP281" s="69"/>
      <c r="AQ281" s="40">
        <v>0</v>
      </c>
      <c r="AR281" s="40">
        <v>0</v>
      </c>
      <c r="AS281" s="44">
        <f t="shared" ref="AS281:AV283" si="88">$AO281/4</f>
        <v>0.25</v>
      </c>
      <c r="AT281" s="44">
        <f t="shared" si="88"/>
        <v>0.25</v>
      </c>
      <c r="AU281" s="44">
        <f t="shared" si="88"/>
        <v>0.25</v>
      </c>
      <c r="AV281" s="45">
        <f t="shared" si="88"/>
        <v>0.25</v>
      </c>
      <c r="AW281" s="44"/>
      <c r="AX281" s="44"/>
      <c r="AY281" s="44"/>
      <c r="AZ281" s="44"/>
      <c r="BA281" s="45"/>
      <c r="BB281" s="152">
        <f t="shared" si="82"/>
        <v>1</v>
      </c>
      <c r="BC281" s="43">
        <v>521611</v>
      </c>
      <c r="BD281" s="43">
        <v>175705</v>
      </c>
      <c r="BE281" t="s">
        <v>1459</v>
      </c>
      <c r="BF281"/>
    </row>
    <row r="282" spans="1:66" ht="15" customHeight="1" x14ac:dyDescent="0.25">
      <c r="A282" s="56" t="s">
        <v>844</v>
      </c>
      <c r="B282" s="19" t="s">
        <v>38</v>
      </c>
      <c r="C282" s="56"/>
      <c r="D282" s="34">
        <v>43731</v>
      </c>
      <c r="E282" s="34">
        <v>44827</v>
      </c>
      <c r="F282" s="19"/>
      <c r="G282" s="19"/>
      <c r="H282" s="38" t="s">
        <v>1100</v>
      </c>
      <c r="I282" s="19" t="s">
        <v>1173</v>
      </c>
      <c r="J282" s="19"/>
      <c r="K282" s="56" t="s">
        <v>845</v>
      </c>
      <c r="L282" s="57" t="s">
        <v>846</v>
      </c>
      <c r="M282" s="56" t="s">
        <v>847</v>
      </c>
      <c r="N282" s="56">
        <v>1</v>
      </c>
      <c r="O282" s="56"/>
      <c r="P282" s="56"/>
      <c r="Q282" s="56">
        <v>1</v>
      </c>
      <c r="R282" s="56"/>
      <c r="S282" s="56"/>
      <c r="T282" s="56"/>
      <c r="U282" s="56"/>
      <c r="V282" s="56">
        <f t="shared" si="84"/>
        <v>2</v>
      </c>
      <c r="W282" s="56"/>
      <c r="X282" s="56"/>
      <c r="Y282" s="56"/>
      <c r="Z282" s="56"/>
      <c r="AA282" s="56"/>
      <c r="AB282" s="56"/>
      <c r="AC282" s="56">
        <v>1</v>
      </c>
      <c r="AD282" s="56"/>
      <c r="AE282" s="56"/>
      <c r="AF282" s="56">
        <f t="shared" si="73"/>
        <v>1</v>
      </c>
      <c r="AG282" s="56">
        <f t="shared" si="74"/>
        <v>-1</v>
      </c>
      <c r="AH282" s="56">
        <f t="shared" si="75"/>
        <v>0</v>
      </c>
      <c r="AI282" s="56">
        <f t="shared" si="76"/>
        <v>0</v>
      </c>
      <c r="AJ282" s="56">
        <f t="shared" si="77"/>
        <v>-1</v>
      </c>
      <c r="AK282" s="56">
        <f t="shared" si="78"/>
        <v>0</v>
      </c>
      <c r="AL282" s="56">
        <f t="shared" si="79"/>
        <v>1</v>
      </c>
      <c r="AM282" s="56">
        <f t="shared" si="80"/>
        <v>0</v>
      </c>
      <c r="AN282" s="56">
        <f t="shared" si="81"/>
        <v>0</v>
      </c>
      <c r="AO282" s="58">
        <f t="shared" si="85"/>
        <v>-1</v>
      </c>
      <c r="AP282" s="69"/>
      <c r="AQ282" s="40">
        <v>0</v>
      </c>
      <c r="AR282" s="40">
        <v>0</v>
      </c>
      <c r="AS282" s="44">
        <f t="shared" si="88"/>
        <v>-0.25</v>
      </c>
      <c r="AT282" s="44">
        <f t="shared" si="88"/>
        <v>-0.25</v>
      </c>
      <c r="AU282" s="44">
        <f t="shared" si="88"/>
        <v>-0.25</v>
      </c>
      <c r="AV282" s="45">
        <f t="shared" si="88"/>
        <v>-0.25</v>
      </c>
      <c r="AW282" s="44"/>
      <c r="AX282" s="44"/>
      <c r="AY282" s="44"/>
      <c r="AZ282" s="44"/>
      <c r="BA282" s="45"/>
      <c r="BB282" s="152">
        <f t="shared" si="82"/>
        <v>-1</v>
      </c>
      <c r="BC282" s="43">
        <v>521753</v>
      </c>
      <c r="BD282" s="43">
        <v>176604</v>
      </c>
      <c r="BE282" t="s">
        <v>1414</v>
      </c>
      <c r="BF282"/>
    </row>
    <row r="283" spans="1:66" ht="15" customHeight="1" x14ac:dyDescent="0.25">
      <c r="A283" s="56" t="s">
        <v>859</v>
      </c>
      <c r="B283" s="19" t="s">
        <v>31</v>
      </c>
      <c r="C283" s="56" t="s">
        <v>1203</v>
      </c>
      <c r="D283" s="34">
        <v>43543</v>
      </c>
      <c r="E283" s="34">
        <v>44639</v>
      </c>
      <c r="F283" s="19"/>
      <c r="G283" s="19"/>
      <c r="H283" s="38" t="s">
        <v>1100</v>
      </c>
      <c r="I283" s="19" t="s">
        <v>1173</v>
      </c>
      <c r="J283" s="19"/>
      <c r="K283" s="56" t="s">
        <v>860</v>
      </c>
      <c r="L283" s="57" t="s">
        <v>861</v>
      </c>
      <c r="M283" s="56" t="s">
        <v>862</v>
      </c>
      <c r="N283" s="56"/>
      <c r="O283" s="56"/>
      <c r="P283" s="56"/>
      <c r="Q283" s="56"/>
      <c r="R283" s="56"/>
      <c r="S283" s="56"/>
      <c r="T283" s="56"/>
      <c r="U283" s="56"/>
      <c r="V283" s="56">
        <f t="shared" si="84"/>
        <v>0</v>
      </c>
      <c r="W283" s="56"/>
      <c r="X283" s="56"/>
      <c r="Y283" s="56">
        <v>2</v>
      </c>
      <c r="Z283" s="56"/>
      <c r="AA283" s="56"/>
      <c r="AB283" s="56"/>
      <c r="AC283" s="56"/>
      <c r="AD283" s="56"/>
      <c r="AE283" s="56"/>
      <c r="AF283" s="56">
        <f t="shared" si="73"/>
        <v>2</v>
      </c>
      <c r="AG283" s="56">
        <f t="shared" si="74"/>
        <v>0</v>
      </c>
      <c r="AH283" s="56">
        <f t="shared" si="75"/>
        <v>2</v>
      </c>
      <c r="AI283" s="56">
        <f t="shared" si="76"/>
        <v>0</v>
      </c>
      <c r="AJ283" s="56">
        <f t="shared" si="77"/>
        <v>0</v>
      </c>
      <c r="AK283" s="56">
        <f t="shared" si="78"/>
        <v>0</v>
      </c>
      <c r="AL283" s="56">
        <f t="shared" si="79"/>
        <v>0</v>
      </c>
      <c r="AM283" s="56">
        <f t="shared" si="80"/>
        <v>0</v>
      </c>
      <c r="AN283" s="56">
        <f t="shared" si="81"/>
        <v>0</v>
      </c>
      <c r="AO283" s="58">
        <f t="shared" si="85"/>
        <v>2</v>
      </c>
      <c r="AP283" s="69"/>
      <c r="AQ283" s="40">
        <v>0</v>
      </c>
      <c r="AR283" s="40">
        <v>0</v>
      </c>
      <c r="AS283" s="31">
        <f t="shared" si="88"/>
        <v>0.5</v>
      </c>
      <c r="AT283" s="31">
        <f t="shared" si="88"/>
        <v>0.5</v>
      </c>
      <c r="AU283" s="31">
        <f t="shared" si="88"/>
        <v>0.5</v>
      </c>
      <c r="AV283" s="39">
        <f t="shared" si="88"/>
        <v>0.5</v>
      </c>
      <c r="AW283" s="31"/>
      <c r="AX283" s="31"/>
      <c r="AY283" s="31"/>
      <c r="AZ283" s="31"/>
      <c r="BA283" s="39"/>
      <c r="BB283" s="152">
        <f t="shared" si="82"/>
        <v>2</v>
      </c>
      <c r="BC283" s="43">
        <v>522531</v>
      </c>
      <c r="BD283" s="43">
        <v>177884</v>
      </c>
      <c r="BE283" t="s">
        <v>1414</v>
      </c>
      <c r="BF283"/>
      <c r="BM283" t="s">
        <v>1545</v>
      </c>
      <c r="BN283" t="s">
        <v>1508</v>
      </c>
    </row>
    <row r="284" spans="1:66" ht="15" customHeight="1" x14ac:dyDescent="0.25">
      <c r="A284" s="56" t="s">
        <v>863</v>
      </c>
      <c r="B284" s="19" t="s">
        <v>20</v>
      </c>
      <c r="C284" s="56"/>
      <c r="D284" s="34">
        <v>43594</v>
      </c>
      <c r="E284" s="34">
        <v>44690</v>
      </c>
      <c r="F284" s="19"/>
      <c r="G284" s="19"/>
      <c r="H284" s="38" t="s">
        <v>1100</v>
      </c>
      <c r="I284" s="19" t="s">
        <v>1173</v>
      </c>
      <c r="J284" s="19"/>
      <c r="K284" s="56" t="s">
        <v>864</v>
      </c>
      <c r="L284" s="57" t="s">
        <v>865</v>
      </c>
      <c r="M284" s="56" t="s">
        <v>866</v>
      </c>
      <c r="N284" s="56">
        <v>1</v>
      </c>
      <c r="O284" s="56"/>
      <c r="P284" s="56"/>
      <c r="Q284" s="56"/>
      <c r="R284" s="56"/>
      <c r="S284" s="56"/>
      <c r="T284" s="56"/>
      <c r="U284" s="56"/>
      <c r="V284" s="56">
        <f t="shared" si="84"/>
        <v>1</v>
      </c>
      <c r="W284" s="56"/>
      <c r="X284" s="56">
        <v>1</v>
      </c>
      <c r="Y284" s="56"/>
      <c r="Z284" s="56"/>
      <c r="AA284" s="56"/>
      <c r="AB284" s="56"/>
      <c r="AC284" s="56"/>
      <c r="AD284" s="56"/>
      <c r="AE284" s="56"/>
      <c r="AF284" s="56">
        <f t="shared" si="73"/>
        <v>1</v>
      </c>
      <c r="AG284" s="56">
        <f t="shared" si="74"/>
        <v>0</v>
      </c>
      <c r="AH284" s="56">
        <f t="shared" si="75"/>
        <v>0</v>
      </c>
      <c r="AI284" s="56">
        <f t="shared" si="76"/>
        <v>0</v>
      </c>
      <c r="AJ284" s="56">
        <f t="shared" si="77"/>
        <v>0</v>
      </c>
      <c r="AK284" s="56">
        <f t="shared" si="78"/>
        <v>0</v>
      </c>
      <c r="AL284" s="56">
        <f t="shared" si="79"/>
        <v>0</v>
      </c>
      <c r="AM284" s="56">
        <f t="shared" si="80"/>
        <v>0</v>
      </c>
      <c r="AN284" s="56">
        <f t="shared" si="81"/>
        <v>0</v>
      </c>
      <c r="AO284" s="58">
        <f t="shared" si="85"/>
        <v>0</v>
      </c>
      <c r="AP284" s="69"/>
      <c r="AQ284" s="40">
        <v>0</v>
      </c>
      <c r="AR284" s="40">
        <v>0</v>
      </c>
      <c r="AS284" s="31">
        <v>0</v>
      </c>
      <c r="AT284" s="31">
        <v>0</v>
      </c>
      <c r="AU284" s="31">
        <v>0</v>
      </c>
      <c r="AV284" s="39">
        <v>0</v>
      </c>
      <c r="AW284" s="31"/>
      <c r="AX284" s="31"/>
      <c r="AY284" s="31"/>
      <c r="AZ284" s="31"/>
      <c r="BA284" s="39"/>
      <c r="BB284" s="152">
        <f t="shared" si="82"/>
        <v>0</v>
      </c>
      <c r="BC284" s="43">
        <v>516414</v>
      </c>
      <c r="BD284" s="43">
        <v>173065</v>
      </c>
      <c r="BE284" t="s">
        <v>1426</v>
      </c>
      <c r="BF284"/>
      <c r="BH284" t="s">
        <v>1404</v>
      </c>
      <c r="BM284" t="s">
        <v>1545</v>
      </c>
      <c r="BN284" t="s">
        <v>1516</v>
      </c>
    </row>
    <row r="285" spans="1:66" ht="15" customHeight="1" x14ac:dyDescent="0.25">
      <c r="A285" s="56" t="s">
        <v>870</v>
      </c>
      <c r="B285" s="19" t="s">
        <v>38</v>
      </c>
      <c r="C285" s="56"/>
      <c r="D285" s="34">
        <v>43644</v>
      </c>
      <c r="E285" s="34">
        <v>44740</v>
      </c>
      <c r="F285" s="19"/>
      <c r="G285" s="19"/>
      <c r="H285" s="36" t="s">
        <v>1100</v>
      </c>
      <c r="I285" s="19" t="s">
        <v>1173</v>
      </c>
      <c r="J285" s="19"/>
      <c r="K285" s="56" t="s">
        <v>871</v>
      </c>
      <c r="L285" s="57" t="s">
        <v>872</v>
      </c>
      <c r="M285" s="56" t="s">
        <v>873</v>
      </c>
      <c r="N285" s="56"/>
      <c r="O285" s="56"/>
      <c r="P285" s="56"/>
      <c r="Q285" s="56"/>
      <c r="R285" s="56"/>
      <c r="S285" s="56"/>
      <c r="T285" s="56">
        <v>1</v>
      </c>
      <c r="U285" s="56"/>
      <c r="V285" s="56">
        <f t="shared" si="84"/>
        <v>1</v>
      </c>
      <c r="W285" s="56"/>
      <c r="X285" s="56"/>
      <c r="Y285" s="56"/>
      <c r="Z285" s="56">
        <v>1</v>
      </c>
      <c r="AA285" s="56">
        <v>1</v>
      </c>
      <c r="AB285" s="56"/>
      <c r="AC285" s="56"/>
      <c r="AD285" s="56"/>
      <c r="AE285" s="56"/>
      <c r="AF285" s="56">
        <f t="shared" si="73"/>
        <v>2</v>
      </c>
      <c r="AG285" s="56">
        <f t="shared" si="74"/>
        <v>0</v>
      </c>
      <c r="AH285" s="56">
        <f t="shared" si="75"/>
        <v>0</v>
      </c>
      <c r="AI285" s="56">
        <f t="shared" si="76"/>
        <v>1</v>
      </c>
      <c r="AJ285" s="56">
        <f t="shared" si="77"/>
        <v>1</v>
      </c>
      <c r="AK285" s="56">
        <f t="shared" si="78"/>
        <v>0</v>
      </c>
      <c r="AL285" s="56">
        <f t="shared" si="79"/>
        <v>0</v>
      </c>
      <c r="AM285" s="56">
        <f t="shared" si="80"/>
        <v>-1</v>
      </c>
      <c r="AN285" s="56">
        <f t="shared" si="81"/>
        <v>0</v>
      </c>
      <c r="AO285" s="58">
        <f t="shared" si="85"/>
        <v>1</v>
      </c>
      <c r="AP285" s="69"/>
      <c r="AQ285" s="40">
        <v>0</v>
      </c>
      <c r="AR285" s="40">
        <v>0</v>
      </c>
      <c r="AS285" s="44">
        <f>$AO285/4</f>
        <v>0.25</v>
      </c>
      <c r="AT285" s="44">
        <f>$AO285/4</f>
        <v>0.25</v>
      </c>
      <c r="AU285" s="44">
        <f>$AO285/4</f>
        <v>0.25</v>
      </c>
      <c r="AV285" s="45">
        <f>$AO285/4</f>
        <v>0.25</v>
      </c>
      <c r="AW285" s="44"/>
      <c r="AX285" s="44"/>
      <c r="AY285" s="44"/>
      <c r="AZ285" s="44"/>
      <c r="BA285" s="45"/>
      <c r="BB285" s="152">
        <f t="shared" si="82"/>
        <v>1</v>
      </c>
      <c r="BC285" s="43">
        <v>518380</v>
      </c>
      <c r="BD285" s="43">
        <v>175623</v>
      </c>
      <c r="BE285" t="s">
        <v>1422</v>
      </c>
      <c r="BF285"/>
      <c r="BM285" t="s">
        <v>1545</v>
      </c>
      <c r="BN285" t="s">
        <v>1539</v>
      </c>
    </row>
    <row r="286" spans="1:66" ht="15" customHeight="1" x14ac:dyDescent="0.25">
      <c r="A286" s="56" t="s">
        <v>874</v>
      </c>
      <c r="B286" s="19" t="s">
        <v>20</v>
      </c>
      <c r="C286" s="56"/>
      <c r="D286" s="34">
        <v>43609</v>
      </c>
      <c r="E286" s="34">
        <v>44705</v>
      </c>
      <c r="F286" s="19"/>
      <c r="G286" s="19"/>
      <c r="H286" s="38" t="s">
        <v>1100</v>
      </c>
      <c r="I286" s="19" t="s">
        <v>1173</v>
      </c>
      <c r="J286" s="19"/>
      <c r="K286" s="56" t="s">
        <v>875</v>
      </c>
      <c r="L286" s="57" t="s">
        <v>876</v>
      </c>
      <c r="M286" s="56" t="s">
        <v>877</v>
      </c>
      <c r="N286" s="56"/>
      <c r="O286" s="56"/>
      <c r="P286" s="56">
        <v>1</v>
      </c>
      <c r="Q286" s="56"/>
      <c r="R286" s="56"/>
      <c r="S286" s="56"/>
      <c r="T286" s="56"/>
      <c r="U286" s="56"/>
      <c r="V286" s="56">
        <f t="shared" si="84"/>
        <v>1</v>
      </c>
      <c r="W286" s="56"/>
      <c r="X286" s="56"/>
      <c r="Y286" s="56"/>
      <c r="Z286" s="56">
        <v>1</v>
      </c>
      <c r="AA286" s="56"/>
      <c r="AB286" s="56"/>
      <c r="AC286" s="56"/>
      <c r="AD286" s="56"/>
      <c r="AE286" s="56"/>
      <c r="AF286" s="56">
        <f t="shared" si="73"/>
        <v>1</v>
      </c>
      <c r="AG286" s="56">
        <f t="shared" si="74"/>
        <v>0</v>
      </c>
      <c r="AH286" s="56">
        <f t="shared" si="75"/>
        <v>0</v>
      </c>
      <c r="AI286" s="56">
        <f t="shared" si="76"/>
        <v>0</v>
      </c>
      <c r="AJ286" s="56">
        <f t="shared" si="77"/>
        <v>0</v>
      </c>
      <c r="AK286" s="56">
        <f t="shared" si="78"/>
        <v>0</v>
      </c>
      <c r="AL286" s="56">
        <f t="shared" si="79"/>
        <v>0</v>
      </c>
      <c r="AM286" s="56">
        <f t="shared" si="80"/>
        <v>0</v>
      </c>
      <c r="AN286" s="56">
        <f t="shared" si="81"/>
        <v>0</v>
      </c>
      <c r="AO286" s="58">
        <f t="shared" si="85"/>
        <v>0</v>
      </c>
      <c r="AP286" s="69"/>
      <c r="AQ286" s="40">
        <v>0</v>
      </c>
      <c r="AR286" s="40">
        <v>0</v>
      </c>
      <c r="AS286" s="31">
        <v>0</v>
      </c>
      <c r="AT286" s="31">
        <v>0</v>
      </c>
      <c r="AU286" s="31">
        <v>0</v>
      </c>
      <c r="AV286" s="39">
        <v>0</v>
      </c>
      <c r="AW286" s="31"/>
      <c r="AX286" s="31"/>
      <c r="AY286" s="31"/>
      <c r="AZ286" s="31"/>
      <c r="BA286" s="39"/>
      <c r="BB286" s="152">
        <f t="shared" si="82"/>
        <v>0</v>
      </c>
      <c r="BC286" s="43">
        <v>514720</v>
      </c>
      <c r="BD286" s="43">
        <v>172712</v>
      </c>
      <c r="BE286" t="s">
        <v>1427</v>
      </c>
      <c r="BF286"/>
    </row>
    <row r="287" spans="1:66" ht="15" customHeight="1" x14ac:dyDescent="0.25">
      <c r="A287" s="56" t="s">
        <v>882</v>
      </c>
      <c r="B287" s="19" t="s">
        <v>20</v>
      </c>
      <c r="C287" s="56"/>
      <c r="D287" s="34">
        <v>43804</v>
      </c>
      <c r="E287" s="34">
        <v>44900</v>
      </c>
      <c r="F287" s="19"/>
      <c r="G287" s="19"/>
      <c r="H287" s="36" t="s">
        <v>1100</v>
      </c>
      <c r="I287" s="19" t="s">
        <v>1173</v>
      </c>
      <c r="J287" s="19"/>
      <c r="K287" s="56" t="s">
        <v>883</v>
      </c>
      <c r="L287" s="57" t="s">
        <v>884</v>
      </c>
      <c r="M287" s="56" t="s">
        <v>885</v>
      </c>
      <c r="N287" s="56"/>
      <c r="O287" s="56"/>
      <c r="P287" s="56"/>
      <c r="Q287" s="56"/>
      <c r="R287" s="56"/>
      <c r="S287" s="56"/>
      <c r="T287" s="56"/>
      <c r="U287" s="56"/>
      <c r="V287" s="56">
        <f t="shared" si="84"/>
        <v>0</v>
      </c>
      <c r="W287" s="56"/>
      <c r="X287" s="56"/>
      <c r="Y287" s="56"/>
      <c r="Z287" s="56">
        <v>1</v>
      </c>
      <c r="AA287" s="56"/>
      <c r="AB287" s="56"/>
      <c r="AC287" s="56"/>
      <c r="AD287" s="56"/>
      <c r="AE287" s="56"/>
      <c r="AF287" s="56">
        <f t="shared" si="73"/>
        <v>1</v>
      </c>
      <c r="AG287" s="56">
        <f t="shared" si="74"/>
        <v>0</v>
      </c>
      <c r="AH287" s="56">
        <f t="shared" si="75"/>
        <v>0</v>
      </c>
      <c r="AI287" s="56">
        <f t="shared" si="76"/>
        <v>1</v>
      </c>
      <c r="AJ287" s="56">
        <f t="shared" si="77"/>
        <v>0</v>
      </c>
      <c r="AK287" s="56">
        <f t="shared" si="78"/>
        <v>0</v>
      </c>
      <c r="AL287" s="56">
        <f t="shared" si="79"/>
        <v>0</v>
      </c>
      <c r="AM287" s="56">
        <f t="shared" si="80"/>
        <v>0</v>
      </c>
      <c r="AN287" s="56">
        <f t="shared" si="81"/>
        <v>0</v>
      </c>
      <c r="AO287" s="58">
        <f t="shared" si="85"/>
        <v>1</v>
      </c>
      <c r="AP287" s="69"/>
      <c r="AQ287" s="40">
        <v>0</v>
      </c>
      <c r="AR287" s="40">
        <v>0</v>
      </c>
      <c r="AS287" s="44">
        <f t="shared" ref="AS287:AV290" si="89">$AO287/4</f>
        <v>0.25</v>
      </c>
      <c r="AT287" s="44">
        <f t="shared" si="89"/>
        <v>0.25</v>
      </c>
      <c r="AU287" s="44">
        <f t="shared" si="89"/>
        <v>0.25</v>
      </c>
      <c r="AV287" s="45">
        <f t="shared" si="89"/>
        <v>0.25</v>
      </c>
      <c r="AW287" s="44"/>
      <c r="AX287" s="44"/>
      <c r="AY287" s="44"/>
      <c r="AZ287" s="44"/>
      <c r="BA287" s="45"/>
      <c r="BB287" s="152">
        <f t="shared" si="82"/>
        <v>1</v>
      </c>
      <c r="BC287" s="43">
        <v>515414</v>
      </c>
      <c r="BD287" s="43">
        <v>172536</v>
      </c>
      <c r="BE287" t="s">
        <v>1424</v>
      </c>
      <c r="BF287" t="s">
        <v>1410</v>
      </c>
    </row>
    <row r="288" spans="1:66" ht="15" customHeight="1" x14ac:dyDescent="0.25">
      <c r="A288" s="56" t="s">
        <v>890</v>
      </c>
      <c r="B288" s="19" t="s">
        <v>20</v>
      </c>
      <c r="C288" s="56"/>
      <c r="D288" s="34">
        <v>43881</v>
      </c>
      <c r="E288" s="34">
        <v>44977</v>
      </c>
      <c r="F288" s="19"/>
      <c r="G288" s="19"/>
      <c r="H288" s="58" t="s">
        <v>1100</v>
      </c>
      <c r="I288" s="19" t="s">
        <v>1173</v>
      </c>
      <c r="J288" s="19"/>
      <c r="K288" s="56" t="s">
        <v>891</v>
      </c>
      <c r="L288" s="57" t="s">
        <v>892</v>
      </c>
      <c r="M288" s="56" t="s">
        <v>893</v>
      </c>
      <c r="N288" s="56"/>
      <c r="O288" s="56"/>
      <c r="P288" s="56"/>
      <c r="Q288" s="56"/>
      <c r="R288" s="56"/>
      <c r="S288" s="56"/>
      <c r="T288" s="56"/>
      <c r="U288" s="56"/>
      <c r="V288" s="56">
        <f t="shared" si="84"/>
        <v>0</v>
      </c>
      <c r="W288" s="56"/>
      <c r="X288" s="56">
        <v>3</v>
      </c>
      <c r="Y288" s="56">
        <v>4</v>
      </c>
      <c r="Z288" s="56"/>
      <c r="AA288" s="56"/>
      <c r="AB288" s="56"/>
      <c r="AC288" s="56"/>
      <c r="AD288" s="56"/>
      <c r="AE288" s="56"/>
      <c r="AF288" s="56">
        <f t="shared" si="73"/>
        <v>7</v>
      </c>
      <c r="AG288" s="56">
        <f t="shared" si="74"/>
        <v>3</v>
      </c>
      <c r="AH288" s="56">
        <f t="shared" si="75"/>
        <v>4</v>
      </c>
      <c r="AI288" s="56">
        <f t="shared" si="76"/>
        <v>0</v>
      </c>
      <c r="AJ288" s="56">
        <f t="shared" si="77"/>
        <v>0</v>
      </c>
      <c r="AK288" s="56">
        <f t="shared" si="78"/>
        <v>0</v>
      </c>
      <c r="AL288" s="56">
        <f t="shared" si="79"/>
        <v>0</v>
      </c>
      <c r="AM288" s="56">
        <f t="shared" si="80"/>
        <v>0</v>
      </c>
      <c r="AN288" s="56">
        <f t="shared" si="81"/>
        <v>0</v>
      </c>
      <c r="AO288" s="58">
        <f t="shared" si="85"/>
        <v>7</v>
      </c>
      <c r="AP288" s="69"/>
      <c r="AQ288" s="40">
        <v>0</v>
      </c>
      <c r="AR288" s="40">
        <v>0</v>
      </c>
      <c r="AS288" s="44">
        <f t="shared" si="89"/>
        <v>1.75</v>
      </c>
      <c r="AT288" s="44">
        <f t="shared" si="89"/>
        <v>1.75</v>
      </c>
      <c r="AU288" s="44">
        <f t="shared" si="89"/>
        <v>1.75</v>
      </c>
      <c r="AV288" s="45">
        <f t="shared" si="89"/>
        <v>1.75</v>
      </c>
      <c r="AW288" s="44"/>
      <c r="AX288" s="44"/>
      <c r="AY288" s="44"/>
      <c r="AZ288" s="44"/>
      <c r="BA288" s="45"/>
      <c r="BB288" s="152">
        <f t="shared" si="82"/>
        <v>7</v>
      </c>
      <c r="BC288" s="43">
        <v>521492</v>
      </c>
      <c r="BD288" s="43">
        <v>175545</v>
      </c>
      <c r="BE288" t="s">
        <v>1459</v>
      </c>
      <c r="BF288"/>
      <c r="BI288" t="s">
        <v>1551</v>
      </c>
      <c r="BJ288" t="s">
        <v>1540</v>
      </c>
    </row>
    <row r="289" spans="1:66" ht="15" customHeight="1" x14ac:dyDescent="0.25">
      <c r="A289" s="56" t="s">
        <v>894</v>
      </c>
      <c r="B289" s="19" t="s">
        <v>20</v>
      </c>
      <c r="C289" s="56"/>
      <c r="D289" s="34">
        <v>43852</v>
      </c>
      <c r="E289" s="34">
        <v>44949</v>
      </c>
      <c r="F289" s="19"/>
      <c r="G289" s="19"/>
      <c r="H289" s="38" t="s">
        <v>1100</v>
      </c>
      <c r="I289" s="19" t="s">
        <v>1173</v>
      </c>
      <c r="J289" s="19"/>
      <c r="K289" s="56" t="s">
        <v>895</v>
      </c>
      <c r="L289" s="57" t="s">
        <v>896</v>
      </c>
      <c r="M289" s="56" t="s">
        <v>897</v>
      </c>
      <c r="N289" s="56"/>
      <c r="O289" s="56"/>
      <c r="P289" s="56"/>
      <c r="Q289" s="56"/>
      <c r="R289" s="56"/>
      <c r="S289" s="56"/>
      <c r="T289" s="56"/>
      <c r="U289" s="56"/>
      <c r="V289" s="56">
        <f t="shared" si="84"/>
        <v>0</v>
      </c>
      <c r="W289" s="56"/>
      <c r="X289" s="56"/>
      <c r="Y289" s="56"/>
      <c r="Z289" s="56">
        <v>2</v>
      </c>
      <c r="AA289" s="56"/>
      <c r="AB289" s="56"/>
      <c r="AC289" s="56"/>
      <c r="AD289" s="56"/>
      <c r="AE289" s="56"/>
      <c r="AF289" s="56">
        <f t="shared" si="73"/>
        <v>2</v>
      </c>
      <c r="AG289" s="56">
        <f t="shared" si="74"/>
        <v>0</v>
      </c>
      <c r="AH289" s="56">
        <f t="shared" si="75"/>
        <v>0</v>
      </c>
      <c r="AI289" s="56">
        <f t="shared" si="76"/>
        <v>2</v>
      </c>
      <c r="AJ289" s="56">
        <f t="shared" si="77"/>
        <v>0</v>
      </c>
      <c r="AK289" s="56">
        <f t="shared" si="78"/>
        <v>0</v>
      </c>
      <c r="AL289" s="56">
        <f t="shared" si="79"/>
        <v>0</v>
      </c>
      <c r="AM289" s="56">
        <f t="shared" si="80"/>
        <v>0</v>
      </c>
      <c r="AN289" s="56">
        <f t="shared" si="81"/>
        <v>0</v>
      </c>
      <c r="AO289" s="58">
        <f t="shared" si="85"/>
        <v>2</v>
      </c>
      <c r="AP289" s="69"/>
      <c r="AQ289" s="40">
        <v>0</v>
      </c>
      <c r="AR289" s="40">
        <v>0</v>
      </c>
      <c r="AS289" s="31">
        <f t="shared" si="89"/>
        <v>0.5</v>
      </c>
      <c r="AT289" s="31">
        <f t="shared" si="89"/>
        <v>0.5</v>
      </c>
      <c r="AU289" s="31">
        <f t="shared" si="89"/>
        <v>0.5</v>
      </c>
      <c r="AV289" s="39">
        <f t="shared" si="89"/>
        <v>0.5</v>
      </c>
      <c r="AW289" s="31"/>
      <c r="AX289" s="31"/>
      <c r="AY289" s="31"/>
      <c r="AZ289" s="31"/>
      <c r="BA289" s="39"/>
      <c r="BB289" s="152">
        <f t="shared" si="82"/>
        <v>2</v>
      </c>
      <c r="BC289" s="43">
        <v>513048</v>
      </c>
      <c r="BD289" s="43">
        <v>173758</v>
      </c>
      <c r="BE289" t="s">
        <v>1419</v>
      </c>
      <c r="BF289" t="s">
        <v>1410</v>
      </c>
    </row>
    <row r="290" spans="1:66" ht="15" customHeight="1" x14ac:dyDescent="0.25">
      <c r="A290" s="56" t="s">
        <v>911</v>
      </c>
      <c r="B290" s="19" t="s">
        <v>31</v>
      </c>
      <c r="C290" s="56" t="s">
        <v>1203</v>
      </c>
      <c r="D290" s="34">
        <v>43592</v>
      </c>
      <c r="E290" s="34">
        <v>44688</v>
      </c>
      <c r="F290" s="19"/>
      <c r="G290" s="19"/>
      <c r="H290" s="38" t="s">
        <v>1100</v>
      </c>
      <c r="I290" s="19" t="s">
        <v>1173</v>
      </c>
      <c r="J290" s="19"/>
      <c r="K290" s="19" t="s">
        <v>1106</v>
      </c>
      <c r="L290" s="57" t="s">
        <v>912</v>
      </c>
      <c r="M290" s="56" t="s">
        <v>913</v>
      </c>
      <c r="N290" s="56"/>
      <c r="O290" s="56"/>
      <c r="P290" s="56"/>
      <c r="Q290" s="56"/>
      <c r="R290" s="56"/>
      <c r="S290" s="56"/>
      <c r="T290" s="56"/>
      <c r="U290" s="56"/>
      <c r="V290" s="56">
        <f t="shared" si="84"/>
        <v>0</v>
      </c>
      <c r="W290" s="56"/>
      <c r="X290" s="56"/>
      <c r="Y290" s="56">
        <v>1</v>
      </c>
      <c r="Z290" s="56"/>
      <c r="AA290" s="56"/>
      <c r="AB290" s="56"/>
      <c r="AC290" s="56"/>
      <c r="AD290" s="56"/>
      <c r="AE290" s="56"/>
      <c r="AF290" s="56">
        <f t="shared" si="73"/>
        <v>1</v>
      </c>
      <c r="AG290" s="56">
        <f t="shared" si="74"/>
        <v>0</v>
      </c>
      <c r="AH290" s="56">
        <f t="shared" si="75"/>
        <v>1</v>
      </c>
      <c r="AI290" s="56">
        <f t="shared" si="76"/>
        <v>0</v>
      </c>
      <c r="AJ290" s="56">
        <f t="shared" si="77"/>
        <v>0</v>
      </c>
      <c r="AK290" s="56">
        <f t="shared" si="78"/>
        <v>0</v>
      </c>
      <c r="AL290" s="56">
        <f t="shared" si="79"/>
        <v>0</v>
      </c>
      <c r="AM290" s="56">
        <f t="shared" si="80"/>
        <v>0</v>
      </c>
      <c r="AN290" s="56">
        <f t="shared" si="81"/>
        <v>0</v>
      </c>
      <c r="AO290" s="58">
        <f t="shared" si="85"/>
        <v>1</v>
      </c>
      <c r="AP290" s="69"/>
      <c r="AQ290" s="40">
        <v>0</v>
      </c>
      <c r="AR290" s="40">
        <v>0</v>
      </c>
      <c r="AS290" s="44">
        <f t="shared" si="89"/>
        <v>0.25</v>
      </c>
      <c r="AT290" s="44">
        <f t="shared" si="89"/>
        <v>0.25</v>
      </c>
      <c r="AU290" s="44">
        <f t="shared" si="89"/>
        <v>0.25</v>
      </c>
      <c r="AV290" s="45">
        <f t="shared" si="89"/>
        <v>0.25</v>
      </c>
      <c r="AW290" s="44"/>
      <c r="AX290" s="44"/>
      <c r="AY290" s="44"/>
      <c r="AZ290" s="44"/>
      <c r="BA290" s="45"/>
      <c r="BB290" s="152">
        <f t="shared" si="82"/>
        <v>1</v>
      </c>
      <c r="BC290" s="43">
        <v>519091</v>
      </c>
      <c r="BD290" s="43">
        <v>176195</v>
      </c>
      <c r="BE290" t="s">
        <v>1420</v>
      </c>
      <c r="BF290"/>
    </row>
    <row r="291" spans="1:66" ht="15" customHeight="1" x14ac:dyDescent="0.25">
      <c r="A291" s="56" t="s">
        <v>914</v>
      </c>
      <c r="B291" s="19" t="s">
        <v>20</v>
      </c>
      <c r="C291" s="56"/>
      <c r="D291" s="34">
        <v>43822</v>
      </c>
      <c r="E291" s="34">
        <v>44919</v>
      </c>
      <c r="F291" s="19"/>
      <c r="G291" s="19"/>
      <c r="H291" s="38" t="s">
        <v>1100</v>
      </c>
      <c r="I291" s="19" t="s">
        <v>1173</v>
      </c>
      <c r="J291" s="19"/>
      <c r="K291" s="56" t="s">
        <v>915</v>
      </c>
      <c r="L291" s="57" t="s">
        <v>916</v>
      </c>
      <c r="M291" s="56" t="s">
        <v>917</v>
      </c>
      <c r="N291" s="56"/>
      <c r="O291" s="56">
        <v>1</v>
      </c>
      <c r="P291" s="56"/>
      <c r="Q291" s="56"/>
      <c r="R291" s="56"/>
      <c r="S291" s="56"/>
      <c r="T291" s="56"/>
      <c r="U291" s="56"/>
      <c r="V291" s="56">
        <f t="shared" si="84"/>
        <v>1</v>
      </c>
      <c r="W291" s="56"/>
      <c r="X291" s="56"/>
      <c r="Y291" s="56"/>
      <c r="Z291" s="56"/>
      <c r="AA291" s="56">
        <v>1</v>
      </c>
      <c r="AB291" s="56"/>
      <c r="AC291" s="56"/>
      <c r="AD291" s="56"/>
      <c r="AE291" s="56"/>
      <c r="AF291" s="56">
        <f t="shared" si="73"/>
        <v>1</v>
      </c>
      <c r="AG291" s="56">
        <f t="shared" si="74"/>
        <v>0</v>
      </c>
      <c r="AH291" s="56">
        <f t="shared" si="75"/>
        <v>-1</v>
      </c>
      <c r="AI291" s="56">
        <f t="shared" si="76"/>
        <v>0</v>
      </c>
      <c r="AJ291" s="56">
        <f t="shared" si="77"/>
        <v>1</v>
      </c>
      <c r="AK291" s="56">
        <f t="shared" si="78"/>
        <v>0</v>
      </c>
      <c r="AL291" s="56">
        <f t="shared" si="79"/>
        <v>0</v>
      </c>
      <c r="AM291" s="56">
        <f t="shared" si="80"/>
        <v>0</v>
      </c>
      <c r="AN291" s="56">
        <f t="shared" si="81"/>
        <v>0</v>
      </c>
      <c r="AO291" s="58">
        <f t="shared" si="85"/>
        <v>0</v>
      </c>
      <c r="AP291" s="69"/>
      <c r="AQ291" s="40">
        <v>0</v>
      </c>
      <c r="AR291" s="40">
        <v>0</v>
      </c>
      <c r="AS291" s="31">
        <v>0</v>
      </c>
      <c r="AT291" s="31">
        <v>0</v>
      </c>
      <c r="AU291" s="31">
        <v>0</v>
      </c>
      <c r="AV291" s="39">
        <v>0</v>
      </c>
      <c r="AW291" s="31"/>
      <c r="AX291" s="31"/>
      <c r="AY291" s="31"/>
      <c r="AZ291" s="31"/>
      <c r="BA291" s="39"/>
      <c r="BB291" s="152">
        <f t="shared" si="82"/>
        <v>0</v>
      </c>
      <c r="BC291" s="43">
        <v>516412</v>
      </c>
      <c r="BD291" s="43">
        <v>171302</v>
      </c>
      <c r="BE291" t="s">
        <v>1405</v>
      </c>
      <c r="BF291"/>
    </row>
    <row r="292" spans="1:66" ht="15" customHeight="1" x14ac:dyDescent="0.25">
      <c r="A292" s="56" t="s">
        <v>925</v>
      </c>
      <c r="B292" s="19" t="s">
        <v>43</v>
      </c>
      <c r="C292" s="56"/>
      <c r="D292" s="34">
        <v>43847</v>
      </c>
      <c r="E292" s="34">
        <v>44962</v>
      </c>
      <c r="F292" s="19"/>
      <c r="G292" s="19"/>
      <c r="H292" s="38" t="s">
        <v>1100</v>
      </c>
      <c r="I292" s="19" t="s">
        <v>1173</v>
      </c>
      <c r="J292" s="19"/>
      <c r="K292" s="56" t="s">
        <v>926</v>
      </c>
      <c r="L292" s="57" t="s">
        <v>1116</v>
      </c>
      <c r="M292" s="56" t="s">
        <v>927</v>
      </c>
      <c r="N292" s="56"/>
      <c r="O292" s="56"/>
      <c r="P292" s="56"/>
      <c r="Q292" s="56"/>
      <c r="R292" s="56"/>
      <c r="S292" s="56"/>
      <c r="T292" s="56"/>
      <c r="U292" s="56"/>
      <c r="V292" s="56">
        <f t="shared" si="84"/>
        <v>0</v>
      </c>
      <c r="W292" s="56"/>
      <c r="X292" s="56"/>
      <c r="Y292" s="56">
        <v>2</v>
      </c>
      <c r="Z292" s="56"/>
      <c r="AA292" s="56"/>
      <c r="AB292" s="56"/>
      <c r="AC292" s="56"/>
      <c r="AD292" s="56"/>
      <c r="AE292" s="56">
        <v>0</v>
      </c>
      <c r="AF292" s="56">
        <f t="shared" si="73"/>
        <v>2</v>
      </c>
      <c r="AG292" s="56">
        <f t="shared" si="74"/>
        <v>0</v>
      </c>
      <c r="AH292" s="56">
        <f t="shared" si="75"/>
        <v>2</v>
      </c>
      <c r="AI292" s="56">
        <f t="shared" si="76"/>
        <v>0</v>
      </c>
      <c r="AJ292" s="56">
        <f t="shared" si="77"/>
        <v>0</v>
      </c>
      <c r="AK292" s="56">
        <f t="shared" si="78"/>
        <v>0</v>
      </c>
      <c r="AL292" s="56">
        <f t="shared" si="79"/>
        <v>0</v>
      </c>
      <c r="AM292" s="56">
        <f t="shared" si="80"/>
        <v>0</v>
      </c>
      <c r="AN292" s="56">
        <f t="shared" si="81"/>
        <v>0</v>
      </c>
      <c r="AO292" s="58">
        <f t="shared" si="85"/>
        <v>2</v>
      </c>
      <c r="AP292" s="69"/>
      <c r="AQ292" s="40">
        <v>0</v>
      </c>
      <c r="AR292" s="40">
        <v>0</v>
      </c>
      <c r="AS292" s="31">
        <f t="shared" ref="AS292:AV296" si="90">$AO292/4</f>
        <v>0.5</v>
      </c>
      <c r="AT292" s="31">
        <f t="shared" si="90"/>
        <v>0.5</v>
      </c>
      <c r="AU292" s="31">
        <f t="shared" si="90"/>
        <v>0.5</v>
      </c>
      <c r="AV292" s="39">
        <f t="shared" si="90"/>
        <v>0.5</v>
      </c>
      <c r="AW292" s="31"/>
      <c r="AX292" s="31"/>
      <c r="AY292" s="31"/>
      <c r="AZ292" s="31"/>
      <c r="BA292" s="39"/>
      <c r="BB292" s="152">
        <f t="shared" si="82"/>
        <v>2</v>
      </c>
      <c r="BC292" s="43">
        <v>517543</v>
      </c>
      <c r="BD292" s="43">
        <v>169767</v>
      </c>
      <c r="BE292" t="s">
        <v>1418</v>
      </c>
      <c r="BF292"/>
    </row>
    <row r="293" spans="1:66" ht="15" customHeight="1" x14ac:dyDescent="0.25">
      <c r="A293" s="56" t="s">
        <v>939</v>
      </c>
      <c r="B293" s="19" t="s">
        <v>43</v>
      </c>
      <c r="C293" s="56"/>
      <c r="D293" s="34">
        <v>43725</v>
      </c>
      <c r="E293" s="34">
        <v>44821</v>
      </c>
      <c r="F293" s="19"/>
      <c r="G293" s="19"/>
      <c r="H293" s="38" t="s">
        <v>1100</v>
      </c>
      <c r="I293" s="19" t="s">
        <v>1173</v>
      </c>
      <c r="J293" s="19"/>
      <c r="K293" s="56" t="s">
        <v>940</v>
      </c>
      <c r="L293" s="57" t="s">
        <v>941</v>
      </c>
      <c r="M293" s="56" t="s">
        <v>942</v>
      </c>
      <c r="N293" s="56"/>
      <c r="O293" s="56"/>
      <c r="P293" s="56">
        <v>1</v>
      </c>
      <c r="Q293" s="56"/>
      <c r="R293" s="56"/>
      <c r="S293" s="56"/>
      <c r="T293" s="56"/>
      <c r="U293" s="56"/>
      <c r="V293" s="56">
        <f t="shared" si="84"/>
        <v>1</v>
      </c>
      <c r="W293" s="56"/>
      <c r="X293" s="56"/>
      <c r="Y293" s="56"/>
      <c r="Z293" s="56"/>
      <c r="AA293" s="56">
        <v>2</v>
      </c>
      <c r="AB293" s="56"/>
      <c r="AC293" s="56"/>
      <c r="AD293" s="56"/>
      <c r="AE293" s="56"/>
      <c r="AF293" s="56">
        <f t="shared" si="73"/>
        <v>2</v>
      </c>
      <c r="AG293" s="56">
        <f t="shared" si="74"/>
        <v>0</v>
      </c>
      <c r="AH293" s="56">
        <f t="shared" si="75"/>
        <v>0</v>
      </c>
      <c r="AI293" s="56">
        <f t="shared" si="76"/>
        <v>-1</v>
      </c>
      <c r="AJ293" s="56">
        <f t="shared" si="77"/>
        <v>2</v>
      </c>
      <c r="AK293" s="56">
        <f t="shared" si="78"/>
        <v>0</v>
      </c>
      <c r="AL293" s="56">
        <f t="shared" si="79"/>
        <v>0</v>
      </c>
      <c r="AM293" s="56">
        <f t="shared" si="80"/>
        <v>0</v>
      </c>
      <c r="AN293" s="56">
        <f t="shared" si="81"/>
        <v>0</v>
      </c>
      <c r="AO293" s="58">
        <f t="shared" si="85"/>
        <v>1</v>
      </c>
      <c r="AP293" s="69"/>
      <c r="AQ293" s="40">
        <v>0</v>
      </c>
      <c r="AR293" s="40">
        <v>0</v>
      </c>
      <c r="AS293" s="44">
        <f t="shared" si="90"/>
        <v>0.25</v>
      </c>
      <c r="AT293" s="44">
        <f t="shared" si="90"/>
        <v>0.25</v>
      </c>
      <c r="AU293" s="44">
        <f t="shared" si="90"/>
        <v>0.25</v>
      </c>
      <c r="AV293" s="45">
        <f t="shared" si="90"/>
        <v>0.25</v>
      </c>
      <c r="AW293" s="44"/>
      <c r="AX293" s="44"/>
      <c r="AY293" s="44"/>
      <c r="AZ293" s="44"/>
      <c r="BA293" s="45"/>
      <c r="BB293" s="152">
        <f t="shared" si="82"/>
        <v>1</v>
      </c>
      <c r="BC293" s="43">
        <v>513857</v>
      </c>
      <c r="BD293" s="43">
        <v>171464</v>
      </c>
      <c r="BE293" t="s">
        <v>1458</v>
      </c>
      <c r="BF293" t="s">
        <v>1410</v>
      </c>
    </row>
    <row r="294" spans="1:66" ht="15" customHeight="1" x14ac:dyDescent="0.25">
      <c r="A294" s="56" t="s">
        <v>943</v>
      </c>
      <c r="B294" s="19" t="s">
        <v>31</v>
      </c>
      <c r="C294" s="56" t="s">
        <v>1203</v>
      </c>
      <c r="D294" s="34">
        <v>43621</v>
      </c>
      <c r="E294" s="34">
        <v>44717</v>
      </c>
      <c r="F294" s="19"/>
      <c r="G294" s="19"/>
      <c r="H294" s="38" t="s">
        <v>1100</v>
      </c>
      <c r="I294" s="19" t="s">
        <v>1173</v>
      </c>
      <c r="J294" s="19"/>
      <c r="K294" s="56" t="s">
        <v>1104</v>
      </c>
      <c r="L294" s="57" t="s">
        <v>944</v>
      </c>
      <c r="M294" s="56"/>
      <c r="N294" s="56"/>
      <c r="O294" s="56"/>
      <c r="P294" s="56"/>
      <c r="Q294" s="56"/>
      <c r="R294" s="56"/>
      <c r="S294" s="56"/>
      <c r="T294" s="56"/>
      <c r="U294" s="56"/>
      <c r="V294" s="56">
        <f t="shared" si="84"/>
        <v>0</v>
      </c>
      <c r="W294" s="56"/>
      <c r="X294" s="56"/>
      <c r="Y294" s="56">
        <v>1</v>
      </c>
      <c r="Z294" s="56"/>
      <c r="AA294" s="56"/>
      <c r="AB294" s="56"/>
      <c r="AC294" s="56"/>
      <c r="AD294" s="56"/>
      <c r="AE294" s="56"/>
      <c r="AF294" s="56">
        <f t="shared" si="73"/>
        <v>1</v>
      </c>
      <c r="AG294" s="56">
        <f t="shared" si="74"/>
        <v>0</v>
      </c>
      <c r="AH294" s="56">
        <f t="shared" si="75"/>
        <v>1</v>
      </c>
      <c r="AI294" s="56">
        <f t="shared" si="76"/>
        <v>0</v>
      </c>
      <c r="AJ294" s="56">
        <f t="shared" si="77"/>
        <v>0</v>
      </c>
      <c r="AK294" s="56">
        <f t="shared" si="78"/>
        <v>0</v>
      </c>
      <c r="AL294" s="56">
        <f t="shared" si="79"/>
        <v>0</v>
      </c>
      <c r="AM294" s="56">
        <f t="shared" si="80"/>
        <v>0</v>
      </c>
      <c r="AN294" s="56">
        <f t="shared" si="81"/>
        <v>0</v>
      </c>
      <c r="AO294" s="58">
        <f t="shared" si="85"/>
        <v>1</v>
      </c>
      <c r="AP294" s="69"/>
      <c r="AQ294" s="40">
        <v>0</v>
      </c>
      <c r="AR294" s="40">
        <v>0</v>
      </c>
      <c r="AS294" s="44">
        <f t="shared" si="90"/>
        <v>0.25</v>
      </c>
      <c r="AT294" s="44">
        <f t="shared" si="90"/>
        <v>0.25</v>
      </c>
      <c r="AU294" s="44">
        <f t="shared" si="90"/>
        <v>0.25</v>
      </c>
      <c r="AV294" s="45">
        <f t="shared" si="90"/>
        <v>0.25</v>
      </c>
      <c r="AW294" s="44"/>
      <c r="AX294" s="44"/>
      <c r="AY294" s="44"/>
      <c r="AZ294" s="44"/>
      <c r="BA294" s="45"/>
      <c r="BB294" s="152">
        <f t="shared" si="82"/>
        <v>1</v>
      </c>
      <c r="BC294" s="43">
        <v>520517</v>
      </c>
      <c r="BD294" s="43">
        <v>175507</v>
      </c>
      <c r="BE294" t="s">
        <v>1402</v>
      </c>
      <c r="BF294"/>
      <c r="BG294" t="s">
        <v>1402</v>
      </c>
      <c r="BM294" t="s">
        <v>1545</v>
      </c>
      <c r="BN294" t="s">
        <v>1495</v>
      </c>
    </row>
    <row r="295" spans="1:66" ht="15" customHeight="1" x14ac:dyDescent="0.25">
      <c r="A295" s="56" t="s">
        <v>945</v>
      </c>
      <c r="B295" s="19" t="s">
        <v>20</v>
      </c>
      <c r="C295" s="56"/>
      <c r="D295" s="34">
        <v>43700</v>
      </c>
      <c r="E295" s="34">
        <v>44800</v>
      </c>
      <c r="F295" s="19"/>
      <c r="G295" s="19"/>
      <c r="H295" s="38" t="s">
        <v>1100</v>
      </c>
      <c r="I295" s="19" t="s">
        <v>1173</v>
      </c>
      <c r="J295" s="19"/>
      <c r="K295" s="56" t="s">
        <v>946</v>
      </c>
      <c r="L295" s="57" t="s">
        <v>947</v>
      </c>
      <c r="M295" s="56" t="s">
        <v>948</v>
      </c>
      <c r="N295" s="56"/>
      <c r="O295" s="56"/>
      <c r="P295" s="56">
        <v>1</v>
      </c>
      <c r="Q295" s="56"/>
      <c r="R295" s="56"/>
      <c r="S295" s="56"/>
      <c r="T295" s="56"/>
      <c r="U295" s="56"/>
      <c r="V295" s="56">
        <f t="shared" si="84"/>
        <v>1</v>
      </c>
      <c r="W295" s="56"/>
      <c r="X295" s="56"/>
      <c r="Y295" s="56"/>
      <c r="Z295" s="56"/>
      <c r="AA295" s="56"/>
      <c r="AB295" s="56"/>
      <c r="AC295" s="56"/>
      <c r="AD295" s="56"/>
      <c r="AE295" s="56"/>
      <c r="AF295" s="56">
        <f t="shared" si="73"/>
        <v>0</v>
      </c>
      <c r="AG295" s="56">
        <f t="shared" si="74"/>
        <v>0</v>
      </c>
      <c r="AH295" s="56">
        <f t="shared" si="75"/>
        <v>0</v>
      </c>
      <c r="AI295" s="56">
        <f t="shared" si="76"/>
        <v>-1</v>
      </c>
      <c r="AJ295" s="56">
        <f t="shared" si="77"/>
        <v>0</v>
      </c>
      <c r="AK295" s="56">
        <f t="shared" si="78"/>
        <v>0</v>
      </c>
      <c r="AL295" s="56">
        <f t="shared" si="79"/>
        <v>0</v>
      </c>
      <c r="AM295" s="56">
        <f t="shared" si="80"/>
        <v>0</v>
      </c>
      <c r="AN295" s="56">
        <f t="shared" si="81"/>
        <v>0</v>
      </c>
      <c r="AO295" s="58">
        <f t="shared" si="85"/>
        <v>-1</v>
      </c>
      <c r="AP295" s="69"/>
      <c r="AQ295" s="40">
        <v>0</v>
      </c>
      <c r="AR295" s="40">
        <v>0</v>
      </c>
      <c r="AS295" s="44">
        <f t="shared" si="90"/>
        <v>-0.25</v>
      </c>
      <c r="AT295" s="44">
        <f t="shared" si="90"/>
        <v>-0.25</v>
      </c>
      <c r="AU295" s="44">
        <f t="shared" si="90"/>
        <v>-0.25</v>
      </c>
      <c r="AV295" s="45">
        <f t="shared" si="90"/>
        <v>-0.25</v>
      </c>
      <c r="AW295" s="44"/>
      <c r="AX295" s="44"/>
      <c r="AY295" s="44"/>
      <c r="AZ295" s="44"/>
      <c r="BA295" s="45"/>
      <c r="BB295" s="152">
        <f t="shared" si="82"/>
        <v>-1</v>
      </c>
      <c r="BC295" s="43">
        <v>520394</v>
      </c>
      <c r="BD295" s="43">
        <v>175127</v>
      </c>
      <c r="BE295" t="s">
        <v>1402</v>
      </c>
      <c r="BF295"/>
      <c r="BM295" t="s">
        <v>1545</v>
      </c>
      <c r="BN295" t="s">
        <v>1519</v>
      </c>
    </row>
    <row r="296" spans="1:66" ht="15" customHeight="1" x14ac:dyDescent="0.25">
      <c r="A296" s="56" t="s">
        <v>952</v>
      </c>
      <c r="B296" s="19" t="s">
        <v>48</v>
      </c>
      <c r="C296" s="56"/>
      <c r="D296" s="34">
        <v>43910</v>
      </c>
      <c r="E296" s="34">
        <v>45005</v>
      </c>
      <c r="F296" s="19"/>
      <c r="G296" s="19"/>
      <c r="H296" s="58" t="s">
        <v>1100</v>
      </c>
      <c r="I296" s="19" t="s">
        <v>1173</v>
      </c>
      <c r="J296" s="19"/>
      <c r="K296" s="56" t="s">
        <v>953</v>
      </c>
      <c r="L296" s="57" t="s">
        <v>954</v>
      </c>
      <c r="M296" s="56" t="s">
        <v>955</v>
      </c>
      <c r="N296" s="56"/>
      <c r="O296" s="56"/>
      <c r="P296" s="56">
        <v>1</v>
      </c>
      <c r="Q296" s="56"/>
      <c r="R296" s="56"/>
      <c r="S296" s="56"/>
      <c r="T296" s="56"/>
      <c r="U296" s="56"/>
      <c r="V296" s="56">
        <f t="shared" si="84"/>
        <v>1</v>
      </c>
      <c r="W296" s="56"/>
      <c r="X296" s="56"/>
      <c r="Y296" s="56">
        <v>2</v>
      </c>
      <c r="Z296" s="56"/>
      <c r="AA296" s="56"/>
      <c r="AB296" s="56"/>
      <c r="AC296" s="56"/>
      <c r="AD296" s="56"/>
      <c r="AE296" s="56"/>
      <c r="AF296" s="56">
        <f t="shared" si="73"/>
        <v>2</v>
      </c>
      <c r="AG296" s="56">
        <f t="shared" si="74"/>
        <v>0</v>
      </c>
      <c r="AH296" s="56">
        <f t="shared" si="75"/>
        <v>2</v>
      </c>
      <c r="AI296" s="56">
        <f t="shared" si="76"/>
        <v>-1</v>
      </c>
      <c r="AJ296" s="56">
        <f t="shared" si="77"/>
        <v>0</v>
      </c>
      <c r="AK296" s="56">
        <f t="shared" si="78"/>
        <v>0</v>
      </c>
      <c r="AL296" s="56">
        <f t="shared" si="79"/>
        <v>0</v>
      </c>
      <c r="AM296" s="56">
        <f t="shared" si="80"/>
        <v>0</v>
      </c>
      <c r="AN296" s="56">
        <f t="shared" si="81"/>
        <v>0</v>
      </c>
      <c r="AO296" s="58">
        <f t="shared" si="85"/>
        <v>1</v>
      </c>
      <c r="AP296" s="69"/>
      <c r="AQ296" s="40">
        <v>0</v>
      </c>
      <c r="AR296" s="40">
        <v>0</v>
      </c>
      <c r="AS296" s="44">
        <f t="shared" si="90"/>
        <v>0.25</v>
      </c>
      <c r="AT296" s="44">
        <f t="shared" si="90"/>
        <v>0.25</v>
      </c>
      <c r="AU296" s="44">
        <f t="shared" si="90"/>
        <v>0.25</v>
      </c>
      <c r="AV296" s="45">
        <f t="shared" si="90"/>
        <v>0.25</v>
      </c>
      <c r="AW296" s="44"/>
      <c r="AX296" s="44"/>
      <c r="AY296" s="44"/>
      <c r="AZ296" s="44"/>
      <c r="BA296" s="45"/>
      <c r="BB296" s="152">
        <f t="shared" si="82"/>
        <v>1</v>
      </c>
      <c r="BC296" s="43">
        <v>517949</v>
      </c>
      <c r="BD296" s="43">
        <v>174506</v>
      </c>
      <c r="BE296" t="s">
        <v>1423</v>
      </c>
      <c r="BF296"/>
      <c r="BG296" t="s">
        <v>1403</v>
      </c>
      <c r="BM296" t="s">
        <v>1545</v>
      </c>
      <c r="BN296" t="s">
        <v>1518</v>
      </c>
    </row>
    <row r="297" spans="1:66" ht="15" customHeight="1" x14ac:dyDescent="0.25">
      <c r="A297" s="56" t="s">
        <v>960</v>
      </c>
      <c r="B297" s="19" t="s">
        <v>20</v>
      </c>
      <c r="C297" s="56"/>
      <c r="D297" s="34">
        <v>43810</v>
      </c>
      <c r="E297" s="34">
        <v>44906</v>
      </c>
      <c r="F297" s="19"/>
      <c r="G297" s="19"/>
      <c r="H297" s="58" t="s">
        <v>1100</v>
      </c>
      <c r="I297" s="19" t="s">
        <v>1173</v>
      </c>
      <c r="J297" s="19"/>
      <c r="K297" s="56" t="s">
        <v>961</v>
      </c>
      <c r="L297" s="57" t="s">
        <v>962</v>
      </c>
      <c r="M297" s="56" t="s">
        <v>963</v>
      </c>
      <c r="N297" s="56"/>
      <c r="O297" s="56">
        <v>1</v>
      </c>
      <c r="P297" s="56"/>
      <c r="Q297" s="56"/>
      <c r="R297" s="56"/>
      <c r="S297" s="56"/>
      <c r="T297" s="56"/>
      <c r="U297" s="56"/>
      <c r="V297" s="56">
        <f t="shared" si="84"/>
        <v>1</v>
      </c>
      <c r="W297" s="56"/>
      <c r="X297" s="56"/>
      <c r="Y297" s="56"/>
      <c r="Z297" s="56">
        <v>1</v>
      </c>
      <c r="AA297" s="56"/>
      <c r="AB297" s="56"/>
      <c r="AC297" s="56"/>
      <c r="AD297" s="56"/>
      <c r="AE297" s="56"/>
      <c r="AF297" s="56">
        <f t="shared" si="73"/>
        <v>1</v>
      </c>
      <c r="AG297" s="56">
        <f t="shared" si="74"/>
        <v>0</v>
      </c>
      <c r="AH297" s="56">
        <f t="shared" si="75"/>
        <v>-1</v>
      </c>
      <c r="AI297" s="56">
        <f t="shared" si="76"/>
        <v>1</v>
      </c>
      <c r="AJ297" s="56">
        <f t="shared" si="77"/>
        <v>0</v>
      </c>
      <c r="AK297" s="56">
        <f t="shared" si="78"/>
        <v>0</v>
      </c>
      <c r="AL297" s="56">
        <f t="shared" si="79"/>
        <v>0</v>
      </c>
      <c r="AM297" s="56">
        <f t="shared" si="80"/>
        <v>0</v>
      </c>
      <c r="AN297" s="56">
        <f t="shared" si="81"/>
        <v>0</v>
      </c>
      <c r="AO297" s="58">
        <f t="shared" si="85"/>
        <v>0</v>
      </c>
      <c r="AP297" s="69"/>
      <c r="AQ297" s="40">
        <v>0</v>
      </c>
      <c r="AR297" s="40">
        <v>0</v>
      </c>
      <c r="AS297" s="31">
        <v>0</v>
      </c>
      <c r="AT297" s="31">
        <v>0</v>
      </c>
      <c r="AU297" s="31">
        <v>0</v>
      </c>
      <c r="AV297" s="39">
        <v>0</v>
      </c>
      <c r="AW297" s="31"/>
      <c r="AX297" s="31"/>
      <c r="AY297" s="31"/>
      <c r="AZ297" s="31"/>
      <c r="BA297" s="39"/>
      <c r="BB297" s="152">
        <f t="shared" si="82"/>
        <v>0</v>
      </c>
      <c r="BC297" s="43">
        <v>520990</v>
      </c>
      <c r="BD297" s="43">
        <v>175033</v>
      </c>
      <c r="BE297" t="s">
        <v>1402</v>
      </c>
      <c r="BF297"/>
    </row>
    <row r="298" spans="1:66" ht="15" customHeight="1" x14ac:dyDescent="0.25">
      <c r="A298" s="56" t="s">
        <v>968</v>
      </c>
      <c r="B298" s="19" t="s">
        <v>43</v>
      </c>
      <c r="C298" s="56"/>
      <c r="D298" s="34">
        <v>43662</v>
      </c>
      <c r="E298" s="34">
        <v>44758</v>
      </c>
      <c r="F298" s="37">
        <v>43999</v>
      </c>
      <c r="G298" s="37">
        <v>44104</v>
      </c>
      <c r="H298" s="33" t="s">
        <v>1100</v>
      </c>
      <c r="I298" s="19" t="s">
        <v>1173</v>
      </c>
      <c r="J298" s="19"/>
      <c r="K298" s="56" t="s">
        <v>969</v>
      </c>
      <c r="L298" s="57" t="s">
        <v>1111</v>
      </c>
      <c r="M298" s="56" t="s">
        <v>970</v>
      </c>
      <c r="N298" s="56"/>
      <c r="O298" s="56"/>
      <c r="P298" s="56"/>
      <c r="Q298" s="56">
        <v>1</v>
      </c>
      <c r="R298" s="56"/>
      <c r="S298" s="56"/>
      <c r="T298" s="56"/>
      <c r="U298" s="56"/>
      <c r="V298" s="56">
        <f t="shared" si="84"/>
        <v>1</v>
      </c>
      <c r="W298" s="56"/>
      <c r="X298" s="56"/>
      <c r="Y298" s="56">
        <v>2</v>
      </c>
      <c r="Z298" s="56"/>
      <c r="AA298" s="56"/>
      <c r="AB298" s="56"/>
      <c r="AC298" s="56"/>
      <c r="AD298" s="56"/>
      <c r="AE298" s="56"/>
      <c r="AF298" s="56">
        <f t="shared" si="73"/>
        <v>2</v>
      </c>
      <c r="AG298" s="56">
        <f t="shared" si="74"/>
        <v>0</v>
      </c>
      <c r="AH298" s="56">
        <f t="shared" si="75"/>
        <v>2</v>
      </c>
      <c r="AI298" s="56">
        <f t="shared" si="76"/>
        <v>0</v>
      </c>
      <c r="AJ298" s="56">
        <f t="shared" si="77"/>
        <v>-1</v>
      </c>
      <c r="AK298" s="56">
        <f t="shared" si="78"/>
        <v>0</v>
      </c>
      <c r="AL298" s="56">
        <f t="shared" si="79"/>
        <v>0</v>
      </c>
      <c r="AM298" s="56">
        <f t="shared" si="80"/>
        <v>0</v>
      </c>
      <c r="AN298" s="56">
        <f t="shared" si="81"/>
        <v>0</v>
      </c>
      <c r="AO298" s="58">
        <f t="shared" si="85"/>
        <v>1</v>
      </c>
      <c r="AP298" s="69"/>
      <c r="AQ298" s="40">
        <v>0</v>
      </c>
      <c r="AR298" s="251">
        <f>$AO298</f>
        <v>1</v>
      </c>
      <c r="AS298" s="44">
        <v>0</v>
      </c>
      <c r="AT298" s="44">
        <v>0</v>
      </c>
      <c r="AU298" s="44">
        <v>0</v>
      </c>
      <c r="AV298" s="45">
        <v>0</v>
      </c>
      <c r="AW298" s="44"/>
      <c r="AX298" s="44"/>
      <c r="AY298" s="44"/>
      <c r="AZ298" s="44"/>
      <c r="BA298" s="45"/>
      <c r="BB298" s="152">
        <f t="shared" si="82"/>
        <v>1</v>
      </c>
      <c r="BC298" s="43">
        <v>514833</v>
      </c>
      <c r="BD298" s="43">
        <v>172367</v>
      </c>
      <c r="BE298" t="s">
        <v>1427</v>
      </c>
      <c r="BF298"/>
    </row>
    <row r="299" spans="1:66" ht="15" customHeight="1" x14ac:dyDescent="0.25">
      <c r="A299" s="56" t="s">
        <v>977</v>
      </c>
      <c r="B299" s="19" t="s">
        <v>31</v>
      </c>
      <c r="C299" s="56" t="s">
        <v>1203</v>
      </c>
      <c r="D299" s="34">
        <v>43661</v>
      </c>
      <c r="E299" s="34">
        <v>44757</v>
      </c>
      <c r="F299" s="19"/>
      <c r="G299" s="19"/>
      <c r="H299" s="58" t="s">
        <v>1100</v>
      </c>
      <c r="I299" s="19" t="s">
        <v>1173</v>
      </c>
      <c r="J299" s="19"/>
      <c r="K299" s="56" t="s">
        <v>978</v>
      </c>
      <c r="L299" s="57" t="s">
        <v>979</v>
      </c>
      <c r="M299" s="56" t="s">
        <v>795</v>
      </c>
      <c r="N299" s="56"/>
      <c r="O299" s="56"/>
      <c r="P299" s="56"/>
      <c r="Q299" s="56"/>
      <c r="R299" s="56"/>
      <c r="S299" s="56"/>
      <c r="T299" s="56"/>
      <c r="U299" s="56"/>
      <c r="V299" s="56">
        <f t="shared" ref="V299:V316" si="91">SUM(N299:U299)</f>
        <v>0</v>
      </c>
      <c r="W299" s="56"/>
      <c r="X299" s="56">
        <v>1</v>
      </c>
      <c r="Y299" s="56"/>
      <c r="Z299" s="56"/>
      <c r="AA299" s="56"/>
      <c r="AB299" s="56"/>
      <c r="AC299" s="56"/>
      <c r="AD299" s="56"/>
      <c r="AE299" s="56"/>
      <c r="AF299" s="56">
        <f t="shared" si="73"/>
        <v>1</v>
      </c>
      <c r="AG299" s="56">
        <f t="shared" si="74"/>
        <v>1</v>
      </c>
      <c r="AH299" s="56">
        <f t="shared" si="75"/>
        <v>0</v>
      </c>
      <c r="AI299" s="56">
        <f t="shared" si="76"/>
        <v>0</v>
      </c>
      <c r="AJ299" s="56">
        <f t="shared" si="77"/>
        <v>0</v>
      </c>
      <c r="AK299" s="56">
        <f t="shared" si="78"/>
        <v>0</v>
      </c>
      <c r="AL299" s="56">
        <f t="shared" si="79"/>
        <v>0</v>
      </c>
      <c r="AM299" s="56">
        <f t="shared" si="80"/>
        <v>0</v>
      </c>
      <c r="AN299" s="56">
        <f t="shared" si="81"/>
        <v>0</v>
      </c>
      <c r="AO299" s="58">
        <f t="shared" si="85"/>
        <v>1</v>
      </c>
      <c r="AP299" s="69"/>
      <c r="AQ299" s="40">
        <v>0</v>
      </c>
      <c r="AR299" s="40">
        <v>0</v>
      </c>
      <c r="AS299" s="44">
        <f t="shared" ref="AS299:AV301" si="92">$AO299/4</f>
        <v>0.25</v>
      </c>
      <c r="AT299" s="44">
        <f t="shared" si="92"/>
        <v>0.25</v>
      </c>
      <c r="AU299" s="44">
        <f t="shared" si="92"/>
        <v>0.25</v>
      </c>
      <c r="AV299" s="45">
        <f t="shared" si="92"/>
        <v>0.25</v>
      </c>
      <c r="AW299" s="44"/>
      <c r="AX299" s="44"/>
      <c r="AY299" s="44"/>
      <c r="AZ299" s="44"/>
      <c r="BA299" s="45"/>
      <c r="BB299" s="152">
        <f t="shared" si="82"/>
        <v>1</v>
      </c>
      <c r="BC299" s="43">
        <v>515391</v>
      </c>
      <c r="BD299" s="43">
        <v>171652</v>
      </c>
      <c r="BE299" t="s">
        <v>1458</v>
      </c>
      <c r="BF299"/>
    </row>
    <row r="300" spans="1:66" ht="15" customHeight="1" x14ac:dyDescent="0.25">
      <c r="A300" s="56" t="s">
        <v>987</v>
      </c>
      <c r="B300" s="19" t="s">
        <v>31</v>
      </c>
      <c r="C300" s="56" t="s">
        <v>1203</v>
      </c>
      <c r="D300" s="34">
        <v>43662</v>
      </c>
      <c r="E300" s="34">
        <v>44758</v>
      </c>
      <c r="F300" s="19"/>
      <c r="G300" s="19"/>
      <c r="H300" s="33" t="s">
        <v>1100</v>
      </c>
      <c r="I300" s="19" t="s">
        <v>1173</v>
      </c>
      <c r="J300" s="19"/>
      <c r="K300" s="56" t="s">
        <v>988</v>
      </c>
      <c r="L300" s="57" t="s">
        <v>989</v>
      </c>
      <c r="M300" s="56" t="s">
        <v>990</v>
      </c>
      <c r="N300" s="56"/>
      <c r="O300" s="56"/>
      <c r="P300" s="56"/>
      <c r="Q300" s="56"/>
      <c r="R300" s="56"/>
      <c r="S300" s="56"/>
      <c r="T300" s="56"/>
      <c r="U300" s="56"/>
      <c r="V300" s="56">
        <f t="shared" si="91"/>
        <v>0</v>
      </c>
      <c r="W300" s="56"/>
      <c r="X300" s="56">
        <v>1</v>
      </c>
      <c r="Y300" s="56"/>
      <c r="Z300" s="56"/>
      <c r="AA300" s="56"/>
      <c r="AB300" s="56"/>
      <c r="AC300" s="56"/>
      <c r="AD300" s="56"/>
      <c r="AE300" s="56"/>
      <c r="AF300" s="56">
        <f t="shared" si="73"/>
        <v>1</v>
      </c>
      <c r="AG300" s="56">
        <f t="shared" si="74"/>
        <v>1</v>
      </c>
      <c r="AH300" s="56">
        <f t="shared" si="75"/>
        <v>0</v>
      </c>
      <c r="AI300" s="56">
        <f t="shared" si="76"/>
        <v>0</v>
      </c>
      <c r="AJ300" s="56">
        <f t="shared" si="77"/>
        <v>0</v>
      </c>
      <c r="AK300" s="56">
        <f t="shared" si="78"/>
        <v>0</v>
      </c>
      <c r="AL300" s="56">
        <f t="shared" si="79"/>
        <v>0</v>
      </c>
      <c r="AM300" s="56">
        <f t="shared" si="80"/>
        <v>0</v>
      </c>
      <c r="AN300" s="56">
        <f t="shared" si="81"/>
        <v>0</v>
      </c>
      <c r="AO300" s="58">
        <f t="shared" si="85"/>
        <v>1</v>
      </c>
      <c r="AP300" s="69"/>
      <c r="AQ300" s="40">
        <v>0</v>
      </c>
      <c r="AR300" s="40">
        <v>0</v>
      </c>
      <c r="AS300" s="44">
        <f t="shared" si="92"/>
        <v>0.25</v>
      </c>
      <c r="AT300" s="44">
        <f t="shared" si="92"/>
        <v>0.25</v>
      </c>
      <c r="AU300" s="44">
        <f t="shared" si="92"/>
        <v>0.25</v>
      </c>
      <c r="AV300" s="45">
        <f t="shared" si="92"/>
        <v>0.25</v>
      </c>
      <c r="AW300" s="44"/>
      <c r="AX300" s="44"/>
      <c r="AY300" s="44"/>
      <c r="AZ300" s="44"/>
      <c r="BA300" s="45"/>
      <c r="BB300" s="152">
        <f t="shared" si="82"/>
        <v>1</v>
      </c>
      <c r="BC300" s="43">
        <v>516442</v>
      </c>
      <c r="BD300" s="43">
        <v>173470</v>
      </c>
      <c r="BE300" t="s">
        <v>1426</v>
      </c>
      <c r="BF300"/>
      <c r="BG300" t="s">
        <v>1406</v>
      </c>
      <c r="BM300" t="s">
        <v>1545</v>
      </c>
      <c r="BN300" t="s">
        <v>1516</v>
      </c>
    </row>
    <row r="301" spans="1:66" ht="15" customHeight="1" x14ac:dyDescent="0.25">
      <c r="A301" s="19" t="s">
        <v>995</v>
      </c>
      <c r="B301" s="19" t="s">
        <v>31</v>
      </c>
      <c r="C301" s="56"/>
      <c r="D301" s="34">
        <v>43689</v>
      </c>
      <c r="E301" s="34">
        <v>44922</v>
      </c>
      <c r="F301" s="19"/>
      <c r="G301" s="19"/>
      <c r="H301" s="58" t="s">
        <v>1100</v>
      </c>
      <c r="I301" s="19" t="s">
        <v>1173</v>
      </c>
      <c r="J301" s="19"/>
      <c r="K301" s="56" t="s">
        <v>996</v>
      </c>
      <c r="L301" s="57" t="s">
        <v>997</v>
      </c>
      <c r="M301" s="56" t="s">
        <v>998</v>
      </c>
      <c r="N301" s="56"/>
      <c r="O301" s="56"/>
      <c r="P301" s="56">
        <v>1</v>
      </c>
      <c r="Q301" s="56"/>
      <c r="R301" s="56"/>
      <c r="S301" s="56"/>
      <c r="T301" s="56"/>
      <c r="U301" s="56"/>
      <c r="V301" s="56">
        <f t="shared" si="91"/>
        <v>1</v>
      </c>
      <c r="W301" s="56"/>
      <c r="X301" s="56">
        <v>1</v>
      </c>
      <c r="Y301" s="56"/>
      <c r="Z301" s="56">
        <v>1</v>
      </c>
      <c r="AA301" s="56"/>
      <c r="AB301" s="56"/>
      <c r="AC301" s="56"/>
      <c r="AD301" s="56"/>
      <c r="AE301" s="56"/>
      <c r="AF301" s="56">
        <f t="shared" si="73"/>
        <v>2</v>
      </c>
      <c r="AG301" s="56">
        <f t="shared" si="74"/>
        <v>1</v>
      </c>
      <c r="AH301" s="56">
        <f t="shared" si="75"/>
        <v>0</v>
      </c>
      <c r="AI301" s="56">
        <f t="shared" si="76"/>
        <v>0</v>
      </c>
      <c r="AJ301" s="56">
        <f t="shared" si="77"/>
        <v>0</v>
      </c>
      <c r="AK301" s="56">
        <f t="shared" si="78"/>
        <v>0</v>
      </c>
      <c r="AL301" s="56">
        <f t="shared" si="79"/>
        <v>0</v>
      </c>
      <c r="AM301" s="56">
        <f t="shared" si="80"/>
        <v>0</v>
      </c>
      <c r="AN301" s="56">
        <f t="shared" si="81"/>
        <v>0</v>
      </c>
      <c r="AO301" s="58">
        <f t="shared" ref="AO301:AO316" si="93">AF301-V301</f>
        <v>1</v>
      </c>
      <c r="AP301" s="69"/>
      <c r="AQ301" s="40">
        <v>0</v>
      </c>
      <c r="AR301" s="40">
        <v>0</v>
      </c>
      <c r="AS301" s="44">
        <f t="shared" si="92"/>
        <v>0.25</v>
      </c>
      <c r="AT301" s="44">
        <f t="shared" si="92"/>
        <v>0.25</v>
      </c>
      <c r="AU301" s="44">
        <f t="shared" si="92"/>
        <v>0.25</v>
      </c>
      <c r="AV301" s="45">
        <f t="shared" si="92"/>
        <v>0.25</v>
      </c>
      <c r="AW301" s="44"/>
      <c r="AX301" s="44"/>
      <c r="AY301" s="44"/>
      <c r="AZ301" s="44"/>
      <c r="BA301" s="45"/>
      <c r="BB301" s="152">
        <f t="shared" si="82"/>
        <v>1</v>
      </c>
      <c r="BC301" s="43">
        <v>514733</v>
      </c>
      <c r="BD301" s="43">
        <v>172125</v>
      </c>
      <c r="BE301" t="s">
        <v>1427</v>
      </c>
      <c r="BF301"/>
    </row>
    <row r="302" spans="1:66" ht="15" customHeight="1" x14ac:dyDescent="0.25">
      <c r="A302" s="56" t="s">
        <v>999</v>
      </c>
      <c r="B302" s="19" t="s">
        <v>20</v>
      </c>
      <c r="C302" s="56"/>
      <c r="D302" s="34">
        <v>43698</v>
      </c>
      <c r="E302" s="34">
        <v>44794</v>
      </c>
      <c r="F302" s="19"/>
      <c r="G302" s="19"/>
      <c r="H302" s="38" t="s">
        <v>1100</v>
      </c>
      <c r="I302" s="19" t="s">
        <v>1173</v>
      </c>
      <c r="J302" s="19"/>
      <c r="K302" s="56" t="s">
        <v>1000</v>
      </c>
      <c r="L302" s="57" t="s">
        <v>125</v>
      </c>
      <c r="M302" s="56" t="s">
        <v>1001</v>
      </c>
      <c r="N302" s="56"/>
      <c r="O302" s="56">
        <v>1</v>
      </c>
      <c r="P302" s="56"/>
      <c r="Q302" s="56"/>
      <c r="R302" s="56"/>
      <c r="S302" s="56"/>
      <c r="T302" s="56"/>
      <c r="U302" s="56"/>
      <c r="V302" s="56">
        <f t="shared" si="91"/>
        <v>1</v>
      </c>
      <c r="W302" s="56"/>
      <c r="X302" s="56"/>
      <c r="Y302" s="56"/>
      <c r="Z302" s="56"/>
      <c r="AA302" s="56">
        <v>1</v>
      </c>
      <c r="AB302" s="56"/>
      <c r="AC302" s="56"/>
      <c r="AD302" s="56"/>
      <c r="AE302" s="56">
        <v>0</v>
      </c>
      <c r="AF302" s="56">
        <f t="shared" si="73"/>
        <v>1</v>
      </c>
      <c r="AG302" s="56">
        <f t="shared" si="74"/>
        <v>0</v>
      </c>
      <c r="AH302" s="56">
        <f t="shared" si="75"/>
        <v>-1</v>
      </c>
      <c r="AI302" s="56">
        <f t="shared" si="76"/>
        <v>0</v>
      </c>
      <c r="AJ302" s="56">
        <f t="shared" si="77"/>
        <v>1</v>
      </c>
      <c r="AK302" s="56">
        <f t="shared" si="78"/>
        <v>0</v>
      </c>
      <c r="AL302" s="56">
        <f t="shared" si="79"/>
        <v>0</v>
      </c>
      <c r="AM302" s="56">
        <f t="shared" si="80"/>
        <v>0</v>
      </c>
      <c r="AN302" s="56">
        <f t="shared" si="81"/>
        <v>0</v>
      </c>
      <c r="AO302" s="58">
        <f t="shared" si="93"/>
        <v>0</v>
      </c>
      <c r="AP302" s="69"/>
      <c r="AQ302" s="40">
        <v>0</v>
      </c>
      <c r="AR302" s="40">
        <v>0</v>
      </c>
      <c r="AS302" s="31">
        <v>0</v>
      </c>
      <c r="AT302" s="31">
        <v>0</v>
      </c>
      <c r="AU302" s="31">
        <v>0</v>
      </c>
      <c r="AV302" s="39">
        <v>0</v>
      </c>
      <c r="AW302" s="31"/>
      <c r="AX302" s="31"/>
      <c r="AY302" s="31"/>
      <c r="AZ302" s="31"/>
      <c r="BA302" s="39"/>
      <c r="BB302" s="152">
        <f t="shared" si="82"/>
        <v>0</v>
      </c>
      <c r="BC302" s="43">
        <v>515806</v>
      </c>
      <c r="BD302" s="43">
        <v>172455</v>
      </c>
      <c r="BE302" t="s">
        <v>1424</v>
      </c>
      <c r="BF302"/>
    </row>
    <row r="303" spans="1:66" ht="15" customHeight="1" x14ac:dyDescent="0.25">
      <c r="A303" s="56" t="s">
        <v>1002</v>
      </c>
      <c r="B303" s="19" t="s">
        <v>38</v>
      </c>
      <c r="C303" s="56"/>
      <c r="D303" s="34">
        <v>43717</v>
      </c>
      <c r="E303" s="34">
        <v>44820</v>
      </c>
      <c r="F303" s="19"/>
      <c r="G303" s="19"/>
      <c r="H303" s="58" t="s">
        <v>1100</v>
      </c>
      <c r="I303" s="19" t="s">
        <v>1173</v>
      </c>
      <c r="J303" s="19"/>
      <c r="K303" s="56" t="s">
        <v>1003</v>
      </c>
      <c r="L303" s="57" t="s">
        <v>834</v>
      </c>
      <c r="M303" s="56" t="s">
        <v>835</v>
      </c>
      <c r="N303" s="56"/>
      <c r="O303" s="56">
        <v>1</v>
      </c>
      <c r="P303" s="56">
        <v>1</v>
      </c>
      <c r="Q303" s="56"/>
      <c r="R303" s="56"/>
      <c r="S303" s="56"/>
      <c r="T303" s="56"/>
      <c r="U303" s="56"/>
      <c r="V303" s="56">
        <f t="shared" si="91"/>
        <v>2</v>
      </c>
      <c r="W303" s="56"/>
      <c r="X303" s="56">
        <v>4</v>
      </c>
      <c r="Y303" s="56">
        <v>1</v>
      </c>
      <c r="Z303" s="56"/>
      <c r="AA303" s="56"/>
      <c r="AB303" s="56"/>
      <c r="AC303" s="56"/>
      <c r="AD303" s="56"/>
      <c r="AE303" s="56"/>
      <c r="AF303" s="56">
        <f t="shared" si="73"/>
        <v>5</v>
      </c>
      <c r="AG303" s="56">
        <f t="shared" si="74"/>
        <v>4</v>
      </c>
      <c r="AH303" s="56">
        <f t="shared" si="75"/>
        <v>0</v>
      </c>
      <c r="AI303" s="56">
        <f t="shared" si="76"/>
        <v>-1</v>
      </c>
      <c r="AJ303" s="56">
        <f t="shared" si="77"/>
        <v>0</v>
      </c>
      <c r="AK303" s="56">
        <f t="shared" si="78"/>
        <v>0</v>
      </c>
      <c r="AL303" s="56">
        <f t="shared" si="79"/>
        <v>0</v>
      </c>
      <c r="AM303" s="56">
        <f t="shared" si="80"/>
        <v>0</v>
      </c>
      <c r="AN303" s="56">
        <f t="shared" si="81"/>
        <v>0</v>
      </c>
      <c r="AO303" s="58">
        <f t="shared" si="93"/>
        <v>3</v>
      </c>
      <c r="AP303" s="69"/>
      <c r="AQ303" s="40">
        <v>0</v>
      </c>
      <c r="AR303" s="40">
        <v>0</v>
      </c>
      <c r="AS303" s="44">
        <f t="shared" ref="AS303:AV304" si="94">$AO303/4</f>
        <v>0.75</v>
      </c>
      <c r="AT303" s="44">
        <f t="shared" si="94"/>
        <v>0.75</v>
      </c>
      <c r="AU303" s="44">
        <f t="shared" si="94"/>
        <v>0.75</v>
      </c>
      <c r="AV303" s="45">
        <f t="shared" si="94"/>
        <v>0.75</v>
      </c>
      <c r="AW303" s="44"/>
      <c r="AX303" s="44"/>
      <c r="AY303" s="44"/>
      <c r="AZ303" s="44"/>
      <c r="BA303" s="45"/>
      <c r="BB303" s="152">
        <f t="shared" si="82"/>
        <v>3</v>
      </c>
      <c r="BC303" s="43">
        <v>514632</v>
      </c>
      <c r="BD303" s="43">
        <v>171370</v>
      </c>
      <c r="BE303" t="s">
        <v>1458</v>
      </c>
      <c r="BF303"/>
    </row>
    <row r="304" spans="1:66" ht="15" customHeight="1" x14ac:dyDescent="0.25">
      <c r="A304" s="56" t="s">
        <v>1004</v>
      </c>
      <c r="B304" s="19" t="s">
        <v>20</v>
      </c>
      <c r="C304" s="56"/>
      <c r="D304" s="34">
        <v>43731</v>
      </c>
      <c r="E304" s="34">
        <v>44827</v>
      </c>
      <c r="F304" s="19"/>
      <c r="G304" s="19"/>
      <c r="H304" s="58" t="s">
        <v>1100</v>
      </c>
      <c r="I304" s="19" t="s">
        <v>1173</v>
      </c>
      <c r="J304" s="19"/>
      <c r="K304" s="56" t="s">
        <v>1005</v>
      </c>
      <c r="L304" s="57" t="s">
        <v>1006</v>
      </c>
      <c r="M304" s="56" t="s">
        <v>1007</v>
      </c>
      <c r="N304" s="56"/>
      <c r="O304" s="56"/>
      <c r="P304" s="56"/>
      <c r="Q304" s="56"/>
      <c r="R304" s="56"/>
      <c r="S304" s="56"/>
      <c r="T304" s="56"/>
      <c r="U304" s="56"/>
      <c r="V304" s="56">
        <f t="shared" si="91"/>
        <v>0</v>
      </c>
      <c r="W304" s="56"/>
      <c r="X304" s="56"/>
      <c r="Y304" s="56"/>
      <c r="Z304" s="56"/>
      <c r="AA304" s="56">
        <v>2</v>
      </c>
      <c r="AB304" s="56"/>
      <c r="AC304" s="56"/>
      <c r="AD304" s="56"/>
      <c r="AE304" s="56"/>
      <c r="AF304" s="56">
        <f t="shared" si="73"/>
        <v>2</v>
      </c>
      <c r="AG304" s="56">
        <f t="shared" si="74"/>
        <v>0</v>
      </c>
      <c r="AH304" s="56">
        <f t="shared" si="75"/>
        <v>0</v>
      </c>
      <c r="AI304" s="56">
        <f t="shared" si="76"/>
        <v>0</v>
      </c>
      <c r="AJ304" s="56">
        <f t="shared" si="77"/>
        <v>2</v>
      </c>
      <c r="AK304" s="56">
        <f t="shared" si="78"/>
        <v>0</v>
      </c>
      <c r="AL304" s="56">
        <f t="shared" si="79"/>
        <v>0</v>
      </c>
      <c r="AM304" s="56">
        <f t="shared" si="80"/>
        <v>0</v>
      </c>
      <c r="AN304" s="56">
        <f t="shared" si="81"/>
        <v>0</v>
      </c>
      <c r="AO304" s="58">
        <f t="shared" si="93"/>
        <v>2</v>
      </c>
      <c r="AP304" s="69"/>
      <c r="AQ304" s="40">
        <v>0</v>
      </c>
      <c r="AR304" s="40">
        <v>0</v>
      </c>
      <c r="AS304" s="31">
        <f t="shared" si="94"/>
        <v>0.5</v>
      </c>
      <c r="AT304" s="31">
        <f t="shared" si="94"/>
        <v>0.5</v>
      </c>
      <c r="AU304" s="31">
        <f t="shared" si="94"/>
        <v>0.5</v>
      </c>
      <c r="AV304" s="39">
        <f t="shared" si="94"/>
        <v>0.5</v>
      </c>
      <c r="AW304" s="31"/>
      <c r="AX304" s="31"/>
      <c r="AY304" s="31"/>
      <c r="AZ304" s="31"/>
      <c r="BA304" s="39"/>
      <c r="BB304" s="152">
        <f t="shared" si="82"/>
        <v>2</v>
      </c>
      <c r="BC304" s="43">
        <v>515377</v>
      </c>
      <c r="BD304" s="43">
        <v>173631</v>
      </c>
      <c r="BE304" t="s">
        <v>1488</v>
      </c>
      <c r="BF304"/>
    </row>
    <row r="305" spans="1:66" ht="15" customHeight="1" x14ac:dyDescent="0.25">
      <c r="A305" s="56" t="s">
        <v>1008</v>
      </c>
      <c r="B305" s="19" t="s">
        <v>43</v>
      </c>
      <c r="C305" s="56"/>
      <c r="D305" s="34">
        <v>43761</v>
      </c>
      <c r="E305" s="34">
        <v>44857</v>
      </c>
      <c r="F305" s="19"/>
      <c r="G305" s="19"/>
      <c r="H305" s="33" t="s">
        <v>1100</v>
      </c>
      <c r="I305" s="19" t="s">
        <v>1173</v>
      </c>
      <c r="J305" s="19"/>
      <c r="K305" s="56" t="s">
        <v>1009</v>
      </c>
      <c r="L305" s="57" t="s">
        <v>1010</v>
      </c>
      <c r="M305" s="56" t="s">
        <v>1011</v>
      </c>
      <c r="N305" s="56">
        <v>1</v>
      </c>
      <c r="O305" s="56"/>
      <c r="P305" s="56"/>
      <c r="Q305" s="56"/>
      <c r="R305" s="56"/>
      <c r="S305" s="56"/>
      <c r="T305" s="56"/>
      <c r="U305" s="56"/>
      <c r="V305" s="56">
        <f t="shared" si="91"/>
        <v>1</v>
      </c>
      <c r="W305" s="56"/>
      <c r="X305" s="56"/>
      <c r="Y305" s="56">
        <v>1</v>
      </c>
      <c r="Z305" s="56"/>
      <c r="AA305" s="56"/>
      <c r="AB305" s="56"/>
      <c r="AC305" s="56"/>
      <c r="AD305" s="56"/>
      <c r="AE305" s="56"/>
      <c r="AF305" s="56">
        <f t="shared" si="73"/>
        <v>1</v>
      </c>
      <c r="AG305" s="56">
        <f t="shared" si="74"/>
        <v>-1</v>
      </c>
      <c r="AH305" s="56">
        <f t="shared" si="75"/>
        <v>1</v>
      </c>
      <c r="AI305" s="56">
        <f t="shared" si="76"/>
        <v>0</v>
      </c>
      <c r="AJ305" s="56">
        <f t="shared" si="77"/>
        <v>0</v>
      </c>
      <c r="AK305" s="56">
        <f t="shared" si="78"/>
        <v>0</v>
      </c>
      <c r="AL305" s="56">
        <f t="shared" si="79"/>
        <v>0</v>
      </c>
      <c r="AM305" s="56">
        <f t="shared" si="80"/>
        <v>0</v>
      </c>
      <c r="AN305" s="56">
        <f t="shared" si="81"/>
        <v>0</v>
      </c>
      <c r="AO305" s="58">
        <f t="shared" si="93"/>
        <v>0</v>
      </c>
      <c r="AP305" s="69"/>
      <c r="AQ305" s="40">
        <v>0</v>
      </c>
      <c r="AR305" s="40">
        <v>0</v>
      </c>
      <c r="AS305" s="31">
        <v>0</v>
      </c>
      <c r="AT305" s="31">
        <v>0</v>
      </c>
      <c r="AU305" s="31">
        <v>0</v>
      </c>
      <c r="AV305" s="39">
        <v>0</v>
      </c>
      <c r="AW305" s="31"/>
      <c r="AX305" s="31"/>
      <c r="AY305" s="31"/>
      <c r="AZ305" s="31"/>
      <c r="BA305" s="39"/>
      <c r="BB305" s="152">
        <f>SUM(AR305:BA305)</f>
        <v>0</v>
      </c>
      <c r="BC305" s="43">
        <v>517763</v>
      </c>
      <c r="BD305" s="43">
        <v>171588</v>
      </c>
      <c r="BE305" t="s">
        <v>1487</v>
      </c>
      <c r="BF305"/>
    </row>
    <row r="306" spans="1:66" ht="15" customHeight="1" x14ac:dyDescent="0.25">
      <c r="A306" s="56" t="s">
        <v>1016</v>
      </c>
      <c r="B306" s="19" t="s">
        <v>31</v>
      </c>
      <c r="C306" s="56" t="s">
        <v>1203</v>
      </c>
      <c r="D306" s="34">
        <v>43706</v>
      </c>
      <c r="E306" s="34">
        <v>44802</v>
      </c>
      <c r="F306" s="19"/>
      <c r="G306" s="19"/>
      <c r="H306" s="58" t="s">
        <v>1100</v>
      </c>
      <c r="I306" s="19" t="s">
        <v>1173</v>
      </c>
      <c r="J306" s="19"/>
      <c r="K306" s="56" t="s">
        <v>1017</v>
      </c>
      <c r="L306" s="57" t="s">
        <v>1018</v>
      </c>
      <c r="M306" s="56" t="s">
        <v>1019</v>
      </c>
      <c r="N306" s="56"/>
      <c r="O306" s="56"/>
      <c r="P306" s="56"/>
      <c r="Q306" s="56"/>
      <c r="R306" s="56"/>
      <c r="S306" s="56"/>
      <c r="T306" s="56"/>
      <c r="U306" s="56"/>
      <c r="V306" s="56">
        <f t="shared" si="91"/>
        <v>0</v>
      </c>
      <c r="W306" s="56"/>
      <c r="X306" s="56"/>
      <c r="Y306" s="56">
        <v>1</v>
      </c>
      <c r="Z306" s="56"/>
      <c r="AA306" s="56"/>
      <c r="AB306" s="56"/>
      <c r="AC306" s="56"/>
      <c r="AD306" s="56"/>
      <c r="AE306" s="56"/>
      <c r="AF306" s="56">
        <f t="shared" si="73"/>
        <v>1</v>
      </c>
      <c r="AG306" s="56">
        <f t="shared" si="74"/>
        <v>0</v>
      </c>
      <c r="AH306" s="56">
        <f t="shared" si="75"/>
        <v>1</v>
      </c>
      <c r="AI306" s="56">
        <f t="shared" si="76"/>
        <v>0</v>
      </c>
      <c r="AJ306" s="56">
        <f t="shared" si="77"/>
        <v>0</v>
      </c>
      <c r="AK306" s="56">
        <f t="shared" si="78"/>
        <v>0</v>
      </c>
      <c r="AL306" s="56">
        <f t="shared" si="79"/>
        <v>0</v>
      </c>
      <c r="AM306" s="56">
        <f t="shared" si="80"/>
        <v>0</v>
      </c>
      <c r="AN306" s="56">
        <f t="shared" si="81"/>
        <v>0</v>
      </c>
      <c r="AO306" s="58">
        <f t="shared" si="93"/>
        <v>1</v>
      </c>
      <c r="AP306" s="69"/>
      <c r="AQ306" s="40">
        <v>0</v>
      </c>
      <c r="AR306" s="40">
        <v>0</v>
      </c>
      <c r="AS306" s="44">
        <f t="shared" ref="AS306:AV311" si="95">$AO306/4</f>
        <v>0.25</v>
      </c>
      <c r="AT306" s="44">
        <f t="shared" si="95"/>
        <v>0.25</v>
      </c>
      <c r="AU306" s="44">
        <f t="shared" si="95"/>
        <v>0.25</v>
      </c>
      <c r="AV306" s="45">
        <f t="shared" si="95"/>
        <v>0.25</v>
      </c>
      <c r="AW306" s="44"/>
      <c r="AX306" s="44"/>
      <c r="AY306" s="44"/>
      <c r="AZ306" s="44"/>
      <c r="BA306" s="45"/>
      <c r="BB306" s="152">
        <f t="shared" si="82"/>
        <v>1</v>
      </c>
      <c r="BC306" s="43">
        <v>514191</v>
      </c>
      <c r="BD306" s="43">
        <v>170734</v>
      </c>
      <c r="BE306" t="s">
        <v>1458</v>
      </c>
      <c r="BF306"/>
      <c r="BI306" t="s">
        <v>1551</v>
      </c>
      <c r="BJ306" t="s">
        <v>1503</v>
      </c>
    </row>
    <row r="307" spans="1:66" ht="15" customHeight="1" x14ac:dyDescent="0.25">
      <c r="A307" s="56" t="s">
        <v>1023</v>
      </c>
      <c r="B307" s="19" t="s">
        <v>43</v>
      </c>
      <c r="C307" s="56"/>
      <c r="D307" s="34">
        <v>43698</v>
      </c>
      <c r="E307" s="34">
        <v>44800</v>
      </c>
      <c r="F307" s="19"/>
      <c r="G307" s="19"/>
      <c r="H307" s="58" t="s">
        <v>1100</v>
      </c>
      <c r="I307" s="19" t="s">
        <v>1173</v>
      </c>
      <c r="J307" s="19"/>
      <c r="K307" s="56" t="s">
        <v>1024</v>
      </c>
      <c r="L307" s="57" t="s">
        <v>1025</v>
      </c>
      <c r="M307" s="56" t="s">
        <v>1026</v>
      </c>
      <c r="N307" s="56"/>
      <c r="O307" s="56"/>
      <c r="P307" s="56"/>
      <c r="Q307" s="56"/>
      <c r="R307" s="56"/>
      <c r="S307" s="56"/>
      <c r="T307" s="56"/>
      <c r="U307" s="56"/>
      <c r="V307" s="56">
        <f t="shared" si="91"/>
        <v>0</v>
      </c>
      <c r="W307" s="56"/>
      <c r="X307" s="56">
        <v>1</v>
      </c>
      <c r="Y307" s="56"/>
      <c r="Z307" s="56"/>
      <c r="AA307" s="56"/>
      <c r="AB307" s="56"/>
      <c r="AC307" s="56"/>
      <c r="AD307" s="56"/>
      <c r="AE307" s="56"/>
      <c r="AF307" s="56">
        <f t="shared" si="73"/>
        <v>1</v>
      </c>
      <c r="AG307" s="56">
        <f t="shared" si="74"/>
        <v>1</v>
      </c>
      <c r="AH307" s="56">
        <f t="shared" si="75"/>
        <v>0</v>
      </c>
      <c r="AI307" s="56">
        <f t="shared" si="76"/>
        <v>0</v>
      </c>
      <c r="AJ307" s="56">
        <f t="shared" si="77"/>
        <v>0</v>
      </c>
      <c r="AK307" s="56">
        <f t="shared" si="78"/>
        <v>0</v>
      </c>
      <c r="AL307" s="56">
        <f t="shared" si="79"/>
        <v>0</v>
      </c>
      <c r="AM307" s="56">
        <f t="shared" si="80"/>
        <v>0</v>
      </c>
      <c r="AN307" s="56">
        <f t="shared" si="81"/>
        <v>0</v>
      </c>
      <c r="AO307" s="58">
        <f t="shared" si="93"/>
        <v>1</v>
      </c>
      <c r="AP307" s="69"/>
      <c r="AQ307" s="40">
        <v>0</v>
      </c>
      <c r="AR307" s="40">
        <v>0</v>
      </c>
      <c r="AS307" s="44">
        <f t="shared" si="95"/>
        <v>0.25</v>
      </c>
      <c r="AT307" s="44">
        <f t="shared" si="95"/>
        <v>0.25</v>
      </c>
      <c r="AU307" s="44">
        <f t="shared" si="95"/>
        <v>0.25</v>
      </c>
      <c r="AV307" s="45">
        <f t="shared" si="95"/>
        <v>0.25</v>
      </c>
      <c r="AW307" s="44"/>
      <c r="AX307" s="44"/>
      <c r="AY307" s="44"/>
      <c r="AZ307" s="44"/>
      <c r="BA307" s="45"/>
      <c r="BB307" s="152">
        <f t="shared" si="82"/>
        <v>1</v>
      </c>
      <c r="BC307" s="43">
        <v>517355</v>
      </c>
      <c r="BD307" s="43">
        <v>169968</v>
      </c>
      <c r="BE307" t="s">
        <v>1418</v>
      </c>
      <c r="BF307"/>
    </row>
    <row r="308" spans="1:66" ht="15" customHeight="1" x14ac:dyDescent="0.25">
      <c r="A308" s="56" t="s">
        <v>1031</v>
      </c>
      <c r="B308" s="19" t="s">
        <v>31</v>
      </c>
      <c r="C308" s="56"/>
      <c r="D308" s="34">
        <v>43822</v>
      </c>
      <c r="E308" s="34">
        <v>44918</v>
      </c>
      <c r="F308" s="19"/>
      <c r="G308" s="19"/>
      <c r="H308" s="58" t="s">
        <v>1100</v>
      </c>
      <c r="I308" s="19" t="s">
        <v>1173</v>
      </c>
      <c r="J308" s="19"/>
      <c r="K308" s="56" t="s">
        <v>1032</v>
      </c>
      <c r="L308" s="57" t="s">
        <v>1033</v>
      </c>
      <c r="M308" s="56" t="s">
        <v>1034</v>
      </c>
      <c r="N308" s="56"/>
      <c r="O308" s="56"/>
      <c r="P308" s="56"/>
      <c r="Q308" s="56"/>
      <c r="R308" s="56"/>
      <c r="S308" s="56"/>
      <c r="T308" s="56"/>
      <c r="U308" s="56"/>
      <c r="V308" s="56">
        <f t="shared" si="91"/>
        <v>0</v>
      </c>
      <c r="W308" s="56"/>
      <c r="X308" s="56"/>
      <c r="Y308" s="56">
        <v>1</v>
      </c>
      <c r="Z308" s="56"/>
      <c r="AA308" s="56"/>
      <c r="AB308" s="56"/>
      <c r="AC308" s="56"/>
      <c r="AD308" s="56"/>
      <c r="AE308" s="56"/>
      <c r="AF308" s="56">
        <f t="shared" si="73"/>
        <v>1</v>
      </c>
      <c r="AG308" s="56">
        <f t="shared" si="74"/>
        <v>0</v>
      </c>
      <c r="AH308" s="56">
        <f t="shared" si="75"/>
        <v>1</v>
      </c>
      <c r="AI308" s="56">
        <f t="shared" si="76"/>
        <v>0</v>
      </c>
      <c r="AJ308" s="56">
        <f t="shared" si="77"/>
        <v>0</v>
      </c>
      <c r="AK308" s="56">
        <f t="shared" si="78"/>
        <v>0</v>
      </c>
      <c r="AL308" s="56">
        <f t="shared" si="79"/>
        <v>0</v>
      </c>
      <c r="AM308" s="56">
        <f t="shared" si="80"/>
        <v>0</v>
      </c>
      <c r="AN308" s="56">
        <f t="shared" si="81"/>
        <v>0</v>
      </c>
      <c r="AO308" s="58">
        <f t="shared" si="93"/>
        <v>1</v>
      </c>
      <c r="AP308" s="69"/>
      <c r="AQ308" s="40">
        <v>0</v>
      </c>
      <c r="AR308" s="40">
        <v>0</v>
      </c>
      <c r="AS308" s="44">
        <f t="shared" si="95"/>
        <v>0.25</v>
      </c>
      <c r="AT308" s="44">
        <f t="shared" si="95"/>
        <v>0.25</v>
      </c>
      <c r="AU308" s="44">
        <f t="shared" si="95"/>
        <v>0.25</v>
      </c>
      <c r="AV308" s="45">
        <f t="shared" si="95"/>
        <v>0.25</v>
      </c>
      <c r="AW308" s="44"/>
      <c r="AX308" s="44"/>
      <c r="AY308" s="44"/>
      <c r="AZ308" s="44"/>
      <c r="BA308" s="45"/>
      <c r="BB308" s="152">
        <f t="shared" si="82"/>
        <v>1</v>
      </c>
      <c r="BC308" s="43">
        <v>512318</v>
      </c>
      <c r="BD308" s="43">
        <v>171284</v>
      </c>
      <c r="BE308" t="s">
        <v>1416</v>
      </c>
      <c r="BF308"/>
      <c r="BK308" t="s">
        <v>121</v>
      </c>
    </row>
    <row r="309" spans="1:66" s="150" customFormat="1" ht="15" customHeight="1" x14ac:dyDescent="0.25">
      <c r="A309" s="56" t="s">
        <v>1035</v>
      </c>
      <c r="B309" s="19" t="s">
        <v>20</v>
      </c>
      <c r="C309" s="56"/>
      <c r="D309" s="34">
        <v>43731</v>
      </c>
      <c r="E309" s="34">
        <v>44827</v>
      </c>
      <c r="F309" s="19"/>
      <c r="G309" s="19"/>
      <c r="H309" s="58" t="s">
        <v>1100</v>
      </c>
      <c r="I309" s="19" t="s">
        <v>1173</v>
      </c>
      <c r="J309" s="19"/>
      <c r="K309" s="56" t="s">
        <v>1036</v>
      </c>
      <c r="L309" s="57" t="s">
        <v>1037</v>
      </c>
      <c r="M309" s="56" t="s">
        <v>1038</v>
      </c>
      <c r="N309" s="56"/>
      <c r="O309" s="56"/>
      <c r="P309" s="56">
        <v>0</v>
      </c>
      <c r="Q309" s="56"/>
      <c r="R309" s="56"/>
      <c r="S309" s="56"/>
      <c r="T309" s="56"/>
      <c r="U309" s="56"/>
      <c r="V309" s="56">
        <f t="shared" si="91"/>
        <v>0</v>
      </c>
      <c r="W309" s="56"/>
      <c r="X309" s="56">
        <v>7</v>
      </c>
      <c r="Y309" s="56"/>
      <c r="Z309" s="56"/>
      <c r="AA309" s="56"/>
      <c r="AB309" s="56"/>
      <c r="AC309" s="56"/>
      <c r="AD309" s="56"/>
      <c r="AE309" s="56"/>
      <c r="AF309" s="56">
        <f t="shared" si="73"/>
        <v>7</v>
      </c>
      <c r="AG309" s="56">
        <f t="shared" si="74"/>
        <v>7</v>
      </c>
      <c r="AH309" s="56">
        <f t="shared" si="75"/>
        <v>0</v>
      </c>
      <c r="AI309" s="56">
        <f t="shared" si="76"/>
        <v>0</v>
      </c>
      <c r="AJ309" s="56">
        <f t="shared" si="77"/>
        <v>0</v>
      </c>
      <c r="AK309" s="56">
        <f t="shared" si="78"/>
        <v>0</v>
      </c>
      <c r="AL309" s="56">
        <f t="shared" si="79"/>
        <v>0</v>
      </c>
      <c r="AM309" s="56">
        <f t="shared" si="80"/>
        <v>0</v>
      </c>
      <c r="AN309" s="56">
        <f t="shared" si="81"/>
        <v>0</v>
      </c>
      <c r="AO309" s="58">
        <f t="shared" si="93"/>
        <v>7</v>
      </c>
      <c r="AP309" s="248"/>
      <c r="AQ309" s="40">
        <v>0</v>
      </c>
      <c r="AR309" s="40">
        <v>0</v>
      </c>
      <c r="AS309" s="44">
        <f t="shared" si="95"/>
        <v>1.75</v>
      </c>
      <c r="AT309" s="44">
        <f t="shared" si="95"/>
        <v>1.75</v>
      </c>
      <c r="AU309" s="44">
        <f t="shared" si="95"/>
        <v>1.75</v>
      </c>
      <c r="AV309" s="45">
        <f t="shared" si="95"/>
        <v>1.75</v>
      </c>
      <c r="AW309" s="44"/>
      <c r="AX309" s="44"/>
      <c r="AY309" s="44"/>
      <c r="AZ309" s="44"/>
      <c r="BA309" s="45"/>
      <c r="BB309" s="152">
        <f t="shared" si="82"/>
        <v>7</v>
      </c>
      <c r="BC309" s="43">
        <v>518353</v>
      </c>
      <c r="BD309" s="43">
        <v>175510</v>
      </c>
      <c r="BE309" s="150" t="s">
        <v>1422</v>
      </c>
      <c r="BI309" s="150" t="s">
        <v>1551</v>
      </c>
      <c r="BJ309" s="150" t="s">
        <v>1541</v>
      </c>
      <c r="BM309" s="150" t="s">
        <v>1545</v>
      </c>
      <c r="BN309" s="150" t="s">
        <v>1539</v>
      </c>
    </row>
    <row r="310" spans="1:66" ht="15" customHeight="1" x14ac:dyDescent="0.25">
      <c r="A310" s="56" t="s">
        <v>1047</v>
      </c>
      <c r="B310" s="19" t="s">
        <v>43</v>
      </c>
      <c r="C310" s="56"/>
      <c r="D310" s="34">
        <v>43861</v>
      </c>
      <c r="E310" s="34">
        <v>44960</v>
      </c>
      <c r="F310" s="19"/>
      <c r="G310" s="19"/>
      <c r="H310" s="58" t="s">
        <v>1100</v>
      </c>
      <c r="I310" s="19" t="s">
        <v>1173</v>
      </c>
      <c r="J310" s="19"/>
      <c r="K310" s="56" t="s">
        <v>1048</v>
      </c>
      <c r="L310" s="57" t="s">
        <v>1049</v>
      </c>
      <c r="M310" s="56" t="s">
        <v>1050</v>
      </c>
      <c r="N310" s="56"/>
      <c r="O310" s="56"/>
      <c r="P310" s="56"/>
      <c r="Q310" s="56"/>
      <c r="R310" s="56"/>
      <c r="S310" s="56"/>
      <c r="T310" s="56"/>
      <c r="U310" s="56"/>
      <c r="V310" s="56">
        <f t="shared" si="91"/>
        <v>0</v>
      </c>
      <c r="W310" s="56"/>
      <c r="X310" s="56">
        <v>1</v>
      </c>
      <c r="Y310" s="56"/>
      <c r="Z310" s="56"/>
      <c r="AA310" s="56"/>
      <c r="AB310" s="56"/>
      <c r="AC310" s="56"/>
      <c r="AD310" s="56"/>
      <c r="AE310" s="56"/>
      <c r="AF310" s="56">
        <f t="shared" si="73"/>
        <v>1</v>
      </c>
      <c r="AG310" s="56">
        <f t="shared" si="74"/>
        <v>1</v>
      </c>
      <c r="AH310" s="56">
        <f t="shared" si="75"/>
        <v>0</v>
      </c>
      <c r="AI310" s="56">
        <f t="shared" si="76"/>
        <v>0</v>
      </c>
      <c r="AJ310" s="56">
        <f t="shared" si="77"/>
        <v>0</v>
      </c>
      <c r="AK310" s="56">
        <f t="shared" si="78"/>
        <v>0</v>
      </c>
      <c r="AL310" s="56">
        <f t="shared" si="79"/>
        <v>0</v>
      </c>
      <c r="AM310" s="56">
        <f t="shared" si="80"/>
        <v>0</v>
      </c>
      <c r="AN310" s="56">
        <f t="shared" si="81"/>
        <v>0</v>
      </c>
      <c r="AO310" s="58">
        <f t="shared" si="93"/>
        <v>1</v>
      </c>
      <c r="AP310" s="69"/>
      <c r="AQ310" s="40">
        <v>0</v>
      </c>
      <c r="AR310" s="40">
        <v>0</v>
      </c>
      <c r="AS310" s="44">
        <f t="shared" si="95"/>
        <v>0.25</v>
      </c>
      <c r="AT310" s="44">
        <f t="shared" si="95"/>
        <v>0.25</v>
      </c>
      <c r="AU310" s="44">
        <f t="shared" si="95"/>
        <v>0.25</v>
      </c>
      <c r="AV310" s="45">
        <f t="shared" si="95"/>
        <v>0.25</v>
      </c>
      <c r="AW310" s="44"/>
      <c r="AX310" s="44"/>
      <c r="AY310" s="44"/>
      <c r="AZ310" s="44"/>
      <c r="BA310" s="45"/>
      <c r="BB310" s="152">
        <f t="shared" si="82"/>
        <v>1</v>
      </c>
      <c r="BC310" s="43">
        <v>519131</v>
      </c>
      <c r="BD310" s="43">
        <v>176452</v>
      </c>
      <c r="BE310" t="s">
        <v>1420</v>
      </c>
      <c r="BF310"/>
      <c r="BI310" t="s">
        <v>1551</v>
      </c>
      <c r="BJ310" t="s">
        <v>1521</v>
      </c>
    </row>
    <row r="311" spans="1:66" ht="15" customHeight="1" x14ac:dyDescent="0.25">
      <c r="A311" s="56" t="s">
        <v>1051</v>
      </c>
      <c r="B311" s="19" t="s">
        <v>31</v>
      </c>
      <c r="C311" s="56" t="s">
        <v>1203</v>
      </c>
      <c r="D311" s="34">
        <v>43774</v>
      </c>
      <c r="E311" s="34">
        <v>44747</v>
      </c>
      <c r="F311" s="19"/>
      <c r="G311" s="19"/>
      <c r="H311" s="58" t="s">
        <v>1100</v>
      </c>
      <c r="I311" s="19" t="s">
        <v>1173</v>
      </c>
      <c r="J311" s="19"/>
      <c r="K311" s="56" t="s">
        <v>1052</v>
      </c>
      <c r="L311" s="57" t="s">
        <v>1053</v>
      </c>
      <c r="M311" s="56" t="s">
        <v>72</v>
      </c>
      <c r="N311" s="56"/>
      <c r="O311" s="56"/>
      <c r="P311" s="56"/>
      <c r="Q311" s="56"/>
      <c r="R311" s="56"/>
      <c r="S311" s="56"/>
      <c r="T311" s="56"/>
      <c r="U311" s="56"/>
      <c r="V311" s="56">
        <f t="shared" si="91"/>
        <v>0</v>
      </c>
      <c r="W311" s="56"/>
      <c r="X311" s="56"/>
      <c r="Y311" s="56"/>
      <c r="Z311" s="56">
        <v>1</v>
      </c>
      <c r="AA311" s="56"/>
      <c r="AB311" s="56"/>
      <c r="AC311" s="56"/>
      <c r="AD311" s="56"/>
      <c r="AE311" s="56"/>
      <c r="AF311" s="56">
        <f t="shared" si="73"/>
        <v>1</v>
      </c>
      <c r="AG311" s="56">
        <f t="shared" si="74"/>
        <v>0</v>
      </c>
      <c r="AH311" s="56">
        <f t="shared" si="75"/>
        <v>0</v>
      </c>
      <c r="AI311" s="56">
        <f t="shared" si="76"/>
        <v>1</v>
      </c>
      <c r="AJ311" s="56">
        <f t="shared" si="77"/>
        <v>0</v>
      </c>
      <c r="AK311" s="56">
        <f t="shared" si="78"/>
        <v>0</v>
      </c>
      <c r="AL311" s="56">
        <f t="shared" si="79"/>
        <v>0</v>
      </c>
      <c r="AM311" s="56">
        <f t="shared" si="80"/>
        <v>0</v>
      </c>
      <c r="AN311" s="56">
        <f t="shared" si="81"/>
        <v>0</v>
      </c>
      <c r="AO311" s="58">
        <f t="shared" si="93"/>
        <v>1</v>
      </c>
      <c r="AP311" s="69"/>
      <c r="AQ311" s="40">
        <v>0</v>
      </c>
      <c r="AR311" s="40">
        <v>0</v>
      </c>
      <c r="AS311" s="44">
        <f t="shared" si="95"/>
        <v>0.25</v>
      </c>
      <c r="AT311" s="44">
        <f t="shared" si="95"/>
        <v>0.25</v>
      </c>
      <c r="AU311" s="44">
        <f t="shared" si="95"/>
        <v>0.25</v>
      </c>
      <c r="AV311" s="45">
        <f t="shared" si="95"/>
        <v>0.25</v>
      </c>
      <c r="AW311" s="44"/>
      <c r="AX311" s="44"/>
      <c r="AY311" s="44"/>
      <c r="AZ311" s="44"/>
      <c r="BA311" s="45"/>
      <c r="BB311" s="152">
        <f t="shared" si="82"/>
        <v>1</v>
      </c>
      <c r="BC311" s="43">
        <v>521408</v>
      </c>
      <c r="BD311" s="43">
        <v>175714</v>
      </c>
      <c r="BE311" t="s">
        <v>1459</v>
      </c>
      <c r="BF311"/>
      <c r="BM311" t="s">
        <v>1545</v>
      </c>
      <c r="BN311" t="s">
        <v>1542</v>
      </c>
    </row>
    <row r="312" spans="1:66" ht="15" customHeight="1" x14ac:dyDescent="0.25">
      <c r="A312" s="56" t="s">
        <v>1054</v>
      </c>
      <c r="B312" s="19" t="s">
        <v>31</v>
      </c>
      <c r="C312" s="56"/>
      <c r="D312" s="34">
        <v>43859</v>
      </c>
      <c r="E312" s="34">
        <v>44955</v>
      </c>
      <c r="F312" s="19"/>
      <c r="G312" s="19"/>
      <c r="H312" s="33" t="s">
        <v>1100</v>
      </c>
      <c r="I312" s="19" t="s">
        <v>1173</v>
      </c>
      <c r="J312" s="19"/>
      <c r="K312" s="56" t="s">
        <v>1055</v>
      </c>
      <c r="L312" s="57" t="s">
        <v>1056</v>
      </c>
      <c r="M312" s="56" t="s">
        <v>1057</v>
      </c>
      <c r="N312" s="56">
        <v>1</v>
      </c>
      <c r="O312" s="56">
        <v>4</v>
      </c>
      <c r="P312" s="56"/>
      <c r="Q312" s="56"/>
      <c r="R312" s="56"/>
      <c r="S312" s="56"/>
      <c r="T312" s="56"/>
      <c r="U312" s="56"/>
      <c r="V312" s="56">
        <f t="shared" si="91"/>
        <v>5</v>
      </c>
      <c r="W312" s="56"/>
      <c r="X312" s="56">
        <v>1</v>
      </c>
      <c r="Y312" s="56">
        <v>4</v>
      </c>
      <c r="Z312" s="56"/>
      <c r="AA312" s="56"/>
      <c r="AB312" s="56"/>
      <c r="AC312" s="56"/>
      <c r="AD312" s="56"/>
      <c r="AE312" s="56"/>
      <c r="AF312" s="56">
        <f t="shared" si="73"/>
        <v>5</v>
      </c>
      <c r="AG312" s="56">
        <f t="shared" si="74"/>
        <v>0</v>
      </c>
      <c r="AH312" s="56">
        <f t="shared" si="75"/>
        <v>0</v>
      </c>
      <c r="AI312" s="56">
        <f t="shared" si="76"/>
        <v>0</v>
      </c>
      <c r="AJ312" s="56">
        <f t="shared" si="77"/>
        <v>0</v>
      </c>
      <c r="AK312" s="56">
        <f t="shared" si="78"/>
        <v>0</v>
      </c>
      <c r="AL312" s="56">
        <f t="shared" si="79"/>
        <v>0</v>
      </c>
      <c r="AM312" s="56">
        <f t="shared" si="80"/>
        <v>0</v>
      </c>
      <c r="AN312" s="56">
        <f t="shared" si="81"/>
        <v>0</v>
      </c>
      <c r="AO312" s="58">
        <f t="shared" si="93"/>
        <v>0</v>
      </c>
      <c r="AP312" s="69"/>
      <c r="AQ312" s="40">
        <v>0</v>
      </c>
      <c r="AR312" s="40">
        <v>0</v>
      </c>
      <c r="AS312" s="31">
        <v>0</v>
      </c>
      <c r="AT312" s="31">
        <v>0</v>
      </c>
      <c r="AU312" s="31">
        <v>0</v>
      </c>
      <c r="AV312" s="39">
        <v>0</v>
      </c>
      <c r="AW312" s="31"/>
      <c r="AX312" s="31"/>
      <c r="AY312" s="31"/>
      <c r="AZ312" s="31"/>
      <c r="BA312" s="39"/>
      <c r="BB312" s="152">
        <f t="shared" si="82"/>
        <v>0</v>
      </c>
      <c r="BC312" s="43">
        <v>516497</v>
      </c>
      <c r="BD312" s="43">
        <v>173537</v>
      </c>
      <c r="BE312" t="s">
        <v>1426</v>
      </c>
      <c r="BF312"/>
      <c r="BG312" t="s">
        <v>1406</v>
      </c>
    </row>
    <row r="313" spans="1:66" ht="15" customHeight="1" x14ac:dyDescent="0.25">
      <c r="A313" s="56" t="s">
        <v>1058</v>
      </c>
      <c r="B313" s="19" t="s">
        <v>31</v>
      </c>
      <c r="C313" s="56" t="s">
        <v>1203</v>
      </c>
      <c r="D313" s="34">
        <v>43787</v>
      </c>
      <c r="E313" s="34">
        <v>44883</v>
      </c>
      <c r="F313" s="19"/>
      <c r="G313" s="19"/>
      <c r="H313" s="58" t="s">
        <v>1100</v>
      </c>
      <c r="I313" s="19" t="s">
        <v>1173</v>
      </c>
      <c r="J313" s="19"/>
      <c r="K313" s="56" t="s">
        <v>1059</v>
      </c>
      <c r="L313" s="46" t="s">
        <v>1060</v>
      </c>
      <c r="M313" s="56" t="s">
        <v>1061</v>
      </c>
      <c r="N313" s="56"/>
      <c r="O313" s="56"/>
      <c r="P313" s="56"/>
      <c r="Q313" s="56"/>
      <c r="R313" s="56"/>
      <c r="S313" s="56"/>
      <c r="T313" s="56"/>
      <c r="U313" s="56"/>
      <c r="V313" s="56">
        <f t="shared" si="91"/>
        <v>0</v>
      </c>
      <c r="W313" s="56"/>
      <c r="X313" s="56"/>
      <c r="Y313" s="56">
        <v>1</v>
      </c>
      <c r="Z313" s="56"/>
      <c r="AA313" s="56"/>
      <c r="AB313" s="56"/>
      <c r="AC313" s="56"/>
      <c r="AD313" s="56"/>
      <c r="AE313" s="56"/>
      <c r="AF313" s="56">
        <f t="shared" si="73"/>
        <v>1</v>
      </c>
      <c r="AG313" s="56">
        <f t="shared" si="74"/>
        <v>0</v>
      </c>
      <c r="AH313" s="56">
        <f t="shared" si="75"/>
        <v>1</v>
      </c>
      <c r="AI313" s="56">
        <f t="shared" si="76"/>
        <v>0</v>
      </c>
      <c r="AJ313" s="56">
        <f t="shared" si="77"/>
        <v>0</v>
      </c>
      <c r="AK313" s="56">
        <f t="shared" si="78"/>
        <v>0</v>
      </c>
      <c r="AL313" s="56">
        <f t="shared" si="79"/>
        <v>0</v>
      </c>
      <c r="AM313" s="56">
        <f t="shared" si="80"/>
        <v>0</v>
      </c>
      <c r="AN313" s="56">
        <f t="shared" si="81"/>
        <v>0</v>
      </c>
      <c r="AO313" s="58">
        <f t="shared" si="93"/>
        <v>1</v>
      </c>
      <c r="AP313" s="69"/>
      <c r="AQ313" s="40">
        <v>0</v>
      </c>
      <c r="AR313" s="40">
        <v>0</v>
      </c>
      <c r="AS313" s="44">
        <f>$AO313/4</f>
        <v>0.25</v>
      </c>
      <c r="AT313" s="44">
        <f>$AO313/4</f>
        <v>0.25</v>
      </c>
      <c r="AU313" s="44">
        <f>$AO313/4</f>
        <v>0.25</v>
      </c>
      <c r="AV313" s="45">
        <f>$AO313/4</f>
        <v>0.25</v>
      </c>
      <c r="AW313" s="44"/>
      <c r="AX313" s="44"/>
      <c r="AY313" s="44"/>
      <c r="AZ313" s="44"/>
      <c r="BA313" s="45"/>
      <c r="BB313" s="152">
        <f t="shared" si="82"/>
        <v>1</v>
      </c>
      <c r="BC313" s="43">
        <v>515035</v>
      </c>
      <c r="BD313" s="43">
        <v>171569</v>
      </c>
      <c r="BE313" t="s">
        <v>1458</v>
      </c>
      <c r="BF313"/>
      <c r="BI313" t="s">
        <v>1551</v>
      </c>
      <c r="BJ313" t="s">
        <v>1514</v>
      </c>
    </row>
    <row r="314" spans="1:66" ht="15" customHeight="1" x14ac:dyDescent="0.25">
      <c r="A314" s="56" t="s">
        <v>1065</v>
      </c>
      <c r="B314" s="19" t="s">
        <v>20</v>
      </c>
      <c r="C314" s="56"/>
      <c r="D314" s="34">
        <v>43901</v>
      </c>
      <c r="E314" s="34">
        <v>44996</v>
      </c>
      <c r="F314" s="19"/>
      <c r="G314" s="19"/>
      <c r="H314" s="58" t="s">
        <v>1100</v>
      </c>
      <c r="I314" s="19" t="s">
        <v>1173</v>
      </c>
      <c r="J314" s="19"/>
      <c r="K314" s="56" t="s">
        <v>1066</v>
      </c>
      <c r="L314" s="57" t="s">
        <v>1067</v>
      </c>
      <c r="M314" s="56" t="s">
        <v>1068</v>
      </c>
      <c r="N314" s="56"/>
      <c r="O314" s="56"/>
      <c r="P314" s="56"/>
      <c r="Q314" s="56">
        <v>1</v>
      </c>
      <c r="R314" s="56"/>
      <c r="S314" s="56"/>
      <c r="T314" s="56"/>
      <c r="U314" s="56"/>
      <c r="V314" s="56">
        <f t="shared" si="91"/>
        <v>1</v>
      </c>
      <c r="W314" s="56"/>
      <c r="X314" s="56"/>
      <c r="Y314" s="56"/>
      <c r="Z314" s="56"/>
      <c r="AA314" s="56"/>
      <c r="AB314" s="56">
        <v>1</v>
      </c>
      <c r="AC314" s="56"/>
      <c r="AD314" s="56"/>
      <c r="AE314" s="56"/>
      <c r="AF314" s="56">
        <f t="shared" si="73"/>
        <v>1</v>
      </c>
      <c r="AG314" s="56">
        <f t="shared" si="74"/>
        <v>0</v>
      </c>
      <c r="AH314" s="56">
        <f t="shared" si="75"/>
        <v>0</v>
      </c>
      <c r="AI314" s="56">
        <f t="shared" si="76"/>
        <v>0</v>
      </c>
      <c r="AJ314" s="56">
        <f t="shared" si="77"/>
        <v>-1</v>
      </c>
      <c r="AK314" s="56">
        <f t="shared" si="78"/>
        <v>1</v>
      </c>
      <c r="AL314" s="56">
        <f t="shared" si="79"/>
        <v>0</v>
      </c>
      <c r="AM314" s="56">
        <f t="shared" si="80"/>
        <v>0</v>
      </c>
      <c r="AN314" s="56">
        <f t="shared" si="81"/>
        <v>0</v>
      </c>
      <c r="AO314" s="58">
        <f t="shared" si="93"/>
        <v>0</v>
      </c>
      <c r="AP314" s="69"/>
      <c r="AQ314" s="101">
        <v>0</v>
      </c>
      <c r="AR314" s="40">
        <v>0</v>
      </c>
      <c r="AS314" s="31">
        <v>0</v>
      </c>
      <c r="AT314" s="31">
        <v>0</v>
      </c>
      <c r="AU314" s="31">
        <v>0</v>
      </c>
      <c r="AV314" s="39">
        <v>0</v>
      </c>
      <c r="AW314" s="31"/>
      <c r="AX314" s="31"/>
      <c r="AY314" s="31"/>
      <c r="AZ314" s="31"/>
      <c r="BA314" s="39"/>
      <c r="BB314" s="152">
        <f t="shared" si="82"/>
        <v>0</v>
      </c>
      <c r="BC314" s="43">
        <v>517948</v>
      </c>
      <c r="BD314" s="43">
        <v>172696</v>
      </c>
      <c r="BE314" t="s">
        <v>1487</v>
      </c>
      <c r="BF314"/>
    </row>
    <row r="315" spans="1:66" ht="15" customHeight="1" x14ac:dyDescent="0.25">
      <c r="A315" s="56" t="s">
        <v>1089</v>
      </c>
      <c r="B315" s="19" t="s">
        <v>20</v>
      </c>
      <c r="C315" s="56"/>
      <c r="D315" s="34">
        <v>43916</v>
      </c>
      <c r="E315" s="34">
        <v>44551</v>
      </c>
      <c r="F315" s="19"/>
      <c r="G315" s="19"/>
      <c r="H315" s="58" t="s">
        <v>1100</v>
      </c>
      <c r="I315" s="19" t="s">
        <v>1173</v>
      </c>
      <c r="J315" s="19"/>
      <c r="K315" s="56" t="s">
        <v>1090</v>
      </c>
      <c r="L315" s="57" t="s">
        <v>1091</v>
      </c>
      <c r="M315" s="56" t="s">
        <v>1092</v>
      </c>
      <c r="N315" s="56"/>
      <c r="O315" s="56"/>
      <c r="P315" s="56">
        <v>1</v>
      </c>
      <c r="Q315" s="56"/>
      <c r="R315" s="56"/>
      <c r="S315" s="56"/>
      <c r="T315" s="56"/>
      <c r="U315" s="56"/>
      <c r="V315" s="56">
        <f t="shared" si="91"/>
        <v>1</v>
      </c>
      <c r="W315" s="56"/>
      <c r="X315" s="56"/>
      <c r="Y315" s="56"/>
      <c r="Z315" s="56"/>
      <c r="AA315" s="56">
        <v>1</v>
      </c>
      <c r="AB315" s="56"/>
      <c r="AC315" s="56"/>
      <c r="AD315" s="56"/>
      <c r="AE315" s="56"/>
      <c r="AF315" s="56">
        <f t="shared" si="73"/>
        <v>1</v>
      </c>
      <c r="AG315" s="56">
        <f t="shared" si="74"/>
        <v>0</v>
      </c>
      <c r="AH315" s="56">
        <f t="shared" si="75"/>
        <v>0</v>
      </c>
      <c r="AI315" s="56">
        <f t="shared" si="76"/>
        <v>-1</v>
      </c>
      <c r="AJ315" s="56">
        <f t="shared" si="77"/>
        <v>1</v>
      </c>
      <c r="AK315" s="56">
        <f t="shared" si="78"/>
        <v>0</v>
      </c>
      <c r="AL315" s="56">
        <f t="shared" si="79"/>
        <v>0</v>
      </c>
      <c r="AM315" s="56">
        <f t="shared" si="80"/>
        <v>0</v>
      </c>
      <c r="AN315" s="56">
        <f t="shared" si="81"/>
        <v>0</v>
      </c>
      <c r="AO315" s="58">
        <f t="shared" si="93"/>
        <v>0</v>
      </c>
      <c r="AP315" s="69"/>
      <c r="AQ315" s="40">
        <v>0</v>
      </c>
      <c r="AR315" s="40">
        <v>0</v>
      </c>
      <c r="AS315" s="31">
        <v>0</v>
      </c>
      <c r="AT315" s="31">
        <v>0</v>
      </c>
      <c r="AU315" s="31">
        <v>0</v>
      </c>
      <c r="AV315" s="39">
        <v>0</v>
      </c>
      <c r="AW315" s="31"/>
      <c r="AX315" s="31"/>
      <c r="AY315" s="31"/>
      <c r="AZ315" s="31"/>
      <c r="BA315" s="39"/>
      <c r="BB315" s="152">
        <f t="shared" si="82"/>
        <v>0</v>
      </c>
      <c r="BC315" s="43">
        <v>521893</v>
      </c>
      <c r="BD315" s="43">
        <v>177129</v>
      </c>
      <c r="BE315" t="s">
        <v>1414</v>
      </c>
      <c r="BF315"/>
    </row>
    <row r="316" spans="1:66" ht="15" customHeight="1" x14ac:dyDescent="0.25">
      <c r="A316" s="56" t="s">
        <v>1093</v>
      </c>
      <c r="B316" s="19" t="s">
        <v>31</v>
      </c>
      <c r="C316" s="56" t="s">
        <v>1203</v>
      </c>
      <c r="D316" s="34">
        <v>43878</v>
      </c>
      <c r="E316" s="34">
        <v>43879</v>
      </c>
      <c r="F316" s="19"/>
      <c r="G316" s="19"/>
      <c r="H316" s="58" t="s">
        <v>1100</v>
      </c>
      <c r="I316" s="19" t="s">
        <v>1173</v>
      </c>
      <c r="J316" s="19"/>
      <c r="K316" s="56" t="s">
        <v>1094</v>
      </c>
      <c r="L316" s="57" t="s">
        <v>1095</v>
      </c>
      <c r="M316" s="56" t="s">
        <v>1096</v>
      </c>
      <c r="N316" s="56"/>
      <c r="O316" s="56"/>
      <c r="P316" s="56"/>
      <c r="Q316" s="56"/>
      <c r="R316" s="56"/>
      <c r="S316" s="56"/>
      <c r="T316" s="56"/>
      <c r="U316" s="56"/>
      <c r="V316" s="56">
        <f t="shared" si="91"/>
        <v>0</v>
      </c>
      <c r="W316" s="56"/>
      <c r="X316" s="56"/>
      <c r="Y316" s="56">
        <v>2</v>
      </c>
      <c r="Z316" s="56"/>
      <c r="AA316" s="56"/>
      <c r="AB316" s="56"/>
      <c r="AC316" s="56"/>
      <c r="AD316" s="56"/>
      <c r="AE316" s="56"/>
      <c r="AF316" s="56">
        <f t="shared" si="73"/>
        <v>2</v>
      </c>
      <c r="AG316" s="56">
        <f t="shared" si="74"/>
        <v>0</v>
      </c>
      <c r="AH316" s="56">
        <f t="shared" si="75"/>
        <v>2</v>
      </c>
      <c r="AI316" s="56">
        <f t="shared" si="76"/>
        <v>0</v>
      </c>
      <c r="AJ316" s="56">
        <f t="shared" si="77"/>
        <v>0</v>
      </c>
      <c r="AK316" s="56">
        <f t="shared" si="78"/>
        <v>0</v>
      </c>
      <c r="AL316" s="56">
        <f t="shared" si="79"/>
        <v>0</v>
      </c>
      <c r="AM316" s="56">
        <f t="shared" si="80"/>
        <v>0</v>
      </c>
      <c r="AN316" s="56">
        <f t="shared" si="81"/>
        <v>0</v>
      </c>
      <c r="AO316" s="58">
        <f t="shared" si="93"/>
        <v>2</v>
      </c>
      <c r="AP316" s="69"/>
      <c r="AQ316" s="40">
        <v>0</v>
      </c>
      <c r="AR316" s="40">
        <v>0</v>
      </c>
      <c r="AS316" s="31">
        <f>$AO316/4</f>
        <v>0.5</v>
      </c>
      <c r="AT316" s="31">
        <f>$AO316/4</f>
        <v>0.5</v>
      </c>
      <c r="AU316" s="31">
        <f>$AO316/4</f>
        <v>0.5</v>
      </c>
      <c r="AV316" s="39">
        <f>$AO316/4</f>
        <v>0.5</v>
      </c>
      <c r="AW316" s="31"/>
      <c r="AX316" s="31"/>
      <c r="AY316" s="31"/>
      <c r="AZ316" s="31"/>
      <c r="BA316" s="39"/>
      <c r="BB316" s="152">
        <f t="shared" si="82"/>
        <v>2</v>
      </c>
      <c r="BC316" s="43">
        <v>520577</v>
      </c>
      <c r="BD316" s="43">
        <v>175397</v>
      </c>
      <c r="BE316" t="s">
        <v>1402</v>
      </c>
      <c r="BF316"/>
      <c r="BG316" t="s">
        <v>1402</v>
      </c>
    </row>
    <row r="317" spans="1:66" ht="15" customHeight="1" x14ac:dyDescent="0.25">
      <c r="A317" s="19" t="s">
        <v>1336</v>
      </c>
      <c r="B317" s="19" t="s">
        <v>20</v>
      </c>
      <c r="C317" s="19"/>
      <c r="D317" s="34"/>
      <c r="E317" s="34"/>
      <c r="F317" s="34"/>
      <c r="G317" s="34"/>
      <c r="H317" s="33" t="s">
        <v>1575</v>
      </c>
      <c r="I317" s="19" t="s">
        <v>1319</v>
      </c>
      <c r="J317" s="19"/>
      <c r="K317" s="19"/>
      <c r="L317" s="19" t="s">
        <v>1585</v>
      </c>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100">
        <f t="shared" ref="AO317:AO330" si="96">SUM(AR317:AV317)</f>
        <v>0</v>
      </c>
      <c r="AQ317" s="101">
        <v>0</v>
      </c>
      <c r="AR317" s="40">
        <v>0</v>
      </c>
      <c r="AS317" s="31">
        <v>0</v>
      </c>
      <c r="AT317" s="31">
        <v>0</v>
      </c>
      <c r="AU317" s="31">
        <v>0</v>
      </c>
      <c r="AV317" s="39">
        <v>0</v>
      </c>
      <c r="AW317" s="31">
        <v>50</v>
      </c>
      <c r="AX317" s="31">
        <v>50</v>
      </c>
      <c r="AY317" s="31">
        <v>50</v>
      </c>
      <c r="AZ317" s="31">
        <v>50</v>
      </c>
      <c r="BA317" s="39">
        <v>50</v>
      </c>
      <c r="BB317" s="152">
        <f>SUM(AR317:BA317)</f>
        <v>250</v>
      </c>
      <c r="BC317" s="19">
        <v>519119</v>
      </c>
      <c r="BD317" s="19">
        <v>175570</v>
      </c>
      <c r="BE317" s="19" t="s">
        <v>1487</v>
      </c>
      <c r="BF317"/>
    </row>
    <row r="318" spans="1:66" ht="15" customHeight="1" x14ac:dyDescent="0.25">
      <c r="A318" s="19" t="s">
        <v>1336</v>
      </c>
      <c r="B318" s="19" t="s">
        <v>20</v>
      </c>
      <c r="C318" s="19"/>
      <c r="D318" s="34"/>
      <c r="E318" s="34"/>
      <c r="F318" s="34"/>
      <c r="G318" s="34"/>
      <c r="H318" s="33" t="s">
        <v>1575</v>
      </c>
      <c r="I318" s="19" t="s">
        <v>1319</v>
      </c>
      <c r="J318" s="19"/>
      <c r="K318" s="19"/>
      <c r="L318" s="26" t="s">
        <v>1574</v>
      </c>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100">
        <f t="shared" si="96"/>
        <v>0</v>
      </c>
      <c r="AQ318" s="101">
        <v>0</v>
      </c>
      <c r="AR318" s="40">
        <v>0</v>
      </c>
      <c r="AS318" s="31">
        <v>0</v>
      </c>
      <c r="AT318" s="31">
        <v>0</v>
      </c>
      <c r="AU318" s="31">
        <v>0</v>
      </c>
      <c r="AV318" s="39">
        <v>0</v>
      </c>
      <c r="AW318" s="31">
        <v>50</v>
      </c>
      <c r="AX318" s="31">
        <v>50</v>
      </c>
      <c r="AY318" s="31">
        <v>50</v>
      </c>
      <c r="AZ318" s="31">
        <v>50</v>
      </c>
      <c r="BA318" s="39">
        <v>50</v>
      </c>
      <c r="BB318" s="152">
        <f t="shared" si="82"/>
        <v>250</v>
      </c>
      <c r="BC318" s="19">
        <v>517177</v>
      </c>
      <c r="BD318" s="19">
        <v>172352</v>
      </c>
      <c r="BE318" s="19" t="s">
        <v>1487</v>
      </c>
      <c r="BF318"/>
    </row>
    <row r="319" spans="1:66" ht="15" customHeight="1" x14ac:dyDescent="0.25">
      <c r="A319" s="19" t="s">
        <v>1336</v>
      </c>
      <c r="B319" s="19" t="s">
        <v>20</v>
      </c>
      <c r="C319" s="19"/>
      <c r="D319" s="34"/>
      <c r="E319" s="34"/>
      <c r="F319" s="34"/>
      <c r="G319" s="34"/>
      <c r="H319" s="33" t="s">
        <v>1575</v>
      </c>
      <c r="I319" s="19" t="s">
        <v>1319</v>
      </c>
      <c r="J319" s="19"/>
      <c r="K319" s="19"/>
      <c r="L319" s="26" t="s">
        <v>1576</v>
      </c>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100">
        <f t="shared" si="96"/>
        <v>0</v>
      </c>
      <c r="AQ319" s="101">
        <v>0</v>
      </c>
      <c r="AR319" s="40">
        <v>0</v>
      </c>
      <c r="AS319" s="31">
        <v>0</v>
      </c>
      <c r="AT319" s="31">
        <v>0</v>
      </c>
      <c r="AU319" s="31">
        <v>0</v>
      </c>
      <c r="AV319" s="39">
        <v>0</v>
      </c>
      <c r="AW319" s="31">
        <v>20</v>
      </c>
      <c r="AX319" s="31">
        <v>20</v>
      </c>
      <c r="AY319" s="31">
        <v>0</v>
      </c>
      <c r="AZ319" s="31">
        <v>0</v>
      </c>
      <c r="BA319" s="39">
        <v>0</v>
      </c>
      <c r="BB319" s="152">
        <f t="shared" si="82"/>
        <v>40</v>
      </c>
      <c r="BC319" s="19">
        <v>515033</v>
      </c>
      <c r="BD319" s="19">
        <v>173287</v>
      </c>
      <c r="BE319" s="19" t="s">
        <v>1424</v>
      </c>
      <c r="BF319"/>
    </row>
    <row r="320" spans="1:66" ht="15" customHeight="1" x14ac:dyDescent="0.25">
      <c r="A320" s="19" t="s">
        <v>1336</v>
      </c>
      <c r="B320" s="19" t="s">
        <v>20</v>
      </c>
      <c r="C320" s="19"/>
      <c r="D320" s="34"/>
      <c r="E320" s="34"/>
      <c r="F320" s="34"/>
      <c r="G320" s="34"/>
      <c r="H320" s="33" t="s">
        <v>1575</v>
      </c>
      <c r="I320" s="19" t="s">
        <v>1319</v>
      </c>
      <c r="J320" s="19"/>
      <c r="K320" s="19"/>
      <c r="L320" s="19" t="s">
        <v>1579</v>
      </c>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100">
        <f t="shared" si="96"/>
        <v>0</v>
      </c>
      <c r="AQ320" s="101">
        <v>0</v>
      </c>
      <c r="AR320" s="40">
        <v>0</v>
      </c>
      <c r="AS320" s="31">
        <v>0</v>
      </c>
      <c r="AT320" s="31">
        <v>0</v>
      </c>
      <c r="AU320" s="31">
        <v>0</v>
      </c>
      <c r="AV320" s="39">
        <v>0</v>
      </c>
      <c r="AW320" s="31">
        <v>0</v>
      </c>
      <c r="AX320" s="31">
        <v>5</v>
      </c>
      <c r="AY320" s="31">
        <v>5</v>
      </c>
      <c r="AZ320" s="31">
        <v>5</v>
      </c>
      <c r="BA320" s="39">
        <v>5</v>
      </c>
      <c r="BB320" s="152">
        <f t="shared" si="82"/>
        <v>20</v>
      </c>
      <c r="BC320" s="19">
        <v>516258</v>
      </c>
      <c r="BD320" s="19">
        <v>171100</v>
      </c>
      <c r="BE320" s="19" t="s">
        <v>1405</v>
      </c>
      <c r="BF320"/>
    </row>
    <row r="321" spans="1:66" ht="15" customHeight="1" x14ac:dyDescent="0.25">
      <c r="A321" s="19" t="s">
        <v>1336</v>
      </c>
      <c r="B321" s="19" t="s">
        <v>20</v>
      </c>
      <c r="C321" s="19"/>
      <c r="D321" s="34"/>
      <c r="E321" s="34"/>
      <c r="F321" s="34"/>
      <c r="G321" s="34"/>
      <c r="H321" s="33" t="s">
        <v>1575</v>
      </c>
      <c r="I321" s="19" t="s">
        <v>1319</v>
      </c>
      <c r="J321" s="19"/>
      <c r="K321" s="19"/>
      <c r="L321" s="19" t="s">
        <v>1578</v>
      </c>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100">
        <f t="shared" si="96"/>
        <v>0</v>
      </c>
      <c r="AQ321" s="101">
        <v>0</v>
      </c>
      <c r="AR321" s="40">
        <v>0</v>
      </c>
      <c r="AS321" s="31">
        <v>0</v>
      </c>
      <c r="AT321" s="31">
        <v>0</v>
      </c>
      <c r="AU321" s="31">
        <v>0</v>
      </c>
      <c r="AV321" s="39">
        <v>0</v>
      </c>
      <c r="AW321" s="31">
        <v>0</v>
      </c>
      <c r="AX321" s="31">
        <v>5</v>
      </c>
      <c r="AY321" s="31">
        <v>5</v>
      </c>
      <c r="AZ321" s="31">
        <v>5</v>
      </c>
      <c r="BA321" s="39">
        <v>5</v>
      </c>
      <c r="BB321" s="152">
        <f t="shared" si="82"/>
        <v>20</v>
      </c>
      <c r="BC321" s="19">
        <v>514055</v>
      </c>
      <c r="BD321" s="19">
        <v>173847</v>
      </c>
      <c r="BE321" s="19" t="s">
        <v>1428</v>
      </c>
      <c r="BF321"/>
    </row>
    <row r="322" spans="1:66" ht="15" customHeight="1" x14ac:dyDescent="0.25">
      <c r="A322" s="19" t="s">
        <v>1336</v>
      </c>
      <c r="B322" s="19" t="s">
        <v>20</v>
      </c>
      <c r="C322" s="19"/>
      <c r="D322" s="34"/>
      <c r="E322" s="34"/>
      <c r="F322" s="34"/>
      <c r="G322" s="34"/>
      <c r="H322" s="33" t="s">
        <v>1575</v>
      </c>
      <c r="I322" s="19" t="s">
        <v>1319</v>
      </c>
      <c r="J322" s="19"/>
      <c r="K322" s="19"/>
      <c r="L322" s="19" t="s">
        <v>1577</v>
      </c>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100">
        <f t="shared" si="96"/>
        <v>0</v>
      </c>
      <c r="AQ322" s="101">
        <v>0</v>
      </c>
      <c r="AR322" s="40">
        <v>0</v>
      </c>
      <c r="AS322" s="31">
        <v>0</v>
      </c>
      <c r="AT322" s="31">
        <v>0</v>
      </c>
      <c r="AU322" s="31">
        <v>0</v>
      </c>
      <c r="AV322" s="39">
        <v>0</v>
      </c>
      <c r="AW322" s="31">
        <v>0</v>
      </c>
      <c r="AX322" s="31">
        <v>5</v>
      </c>
      <c r="AY322" s="31">
        <v>5</v>
      </c>
      <c r="AZ322" s="31">
        <v>5</v>
      </c>
      <c r="BA322" s="39">
        <v>5</v>
      </c>
      <c r="BB322" s="152">
        <f t="shared" ref="BB322:BB330" si="97">SUM(AR322:BA322)</f>
        <v>20</v>
      </c>
      <c r="BC322" s="19">
        <v>516325</v>
      </c>
      <c r="BD322" s="19">
        <v>173426</v>
      </c>
      <c r="BE322" s="19" t="s">
        <v>1426</v>
      </c>
      <c r="BF322"/>
    </row>
    <row r="323" spans="1:66" ht="15" customHeight="1" x14ac:dyDescent="0.25">
      <c r="A323" s="19" t="s">
        <v>1307</v>
      </c>
      <c r="B323" s="19" t="s">
        <v>48</v>
      </c>
      <c r="C323" s="19"/>
      <c r="D323" s="34"/>
      <c r="E323" s="34"/>
      <c r="F323" s="19"/>
      <c r="G323" s="19"/>
      <c r="H323" s="33" t="s">
        <v>1255</v>
      </c>
      <c r="I323" s="19" t="s">
        <v>1319</v>
      </c>
      <c r="J323" s="19" t="s">
        <v>1308</v>
      </c>
      <c r="K323" s="19"/>
      <c r="L323" s="19" t="s">
        <v>1312</v>
      </c>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100">
        <f t="shared" si="96"/>
        <v>300</v>
      </c>
      <c r="AP323" s="69"/>
      <c r="AQ323" s="101">
        <v>0</v>
      </c>
      <c r="AR323" s="40">
        <v>0</v>
      </c>
      <c r="AS323" s="31">
        <v>0</v>
      </c>
      <c r="AT323" s="31">
        <v>0</v>
      </c>
      <c r="AU323" s="31">
        <v>150</v>
      </c>
      <c r="AV323" s="39">
        <v>150</v>
      </c>
      <c r="AW323" s="31">
        <v>80</v>
      </c>
      <c r="AX323" s="31">
        <v>80</v>
      </c>
      <c r="AY323" s="31">
        <v>80</v>
      </c>
      <c r="AZ323" s="31">
        <v>80</v>
      </c>
      <c r="BA323" s="39">
        <v>80</v>
      </c>
      <c r="BB323" s="152">
        <f t="shared" si="97"/>
        <v>700</v>
      </c>
      <c r="BC323" s="43">
        <v>520502</v>
      </c>
      <c r="BD323" s="43">
        <v>175950</v>
      </c>
      <c r="BE323" t="s">
        <v>1459</v>
      </c>
      <c r="BF323"/>
      <c r="BI323" t="s">
        <v>1551</v>
      </c>
      <c r="BJ323" t="s">
        <v>1543</v>
      </c>
      <c r="BM323" t="s">
        <v>1545</v>
      </c>
      <c r="BN323" t="s">
        <v>1534</v>
      </c>
    </row>
    <row r="324" spans="1:66" ht="15" customHeight="1" x14ac:dyDescent="0.25">
      <c r="A324" s="19" t="s">
        <v>1305</v>
      </c>
      <c r="B324" s="19" t="s">
        <v>20</v>
      </c>
      <c r="C324" s="19"/>
      <c r="D324" s="34">
        <v>44090</v>
      </c>
      <c r="E324" s="34"/>
      <c r="F324" s="19"/>
      <c r="G324" s="19"/>
      <c r="H324" s="33" t="s">
        <v>1255</v>
      </c>
      <c r="I324" s="19" t="s">
        <v>1319</v>
      </c>
      <c r="J324" s="19" t="s">
        <v>1306</v>
      </c>
      <c r="K324" s="19"/>
      <c r="L324" s="26" t="s">
        <v>1313</v>
      </c>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100">
        <f t="shared" si="96"/>
        <v>90</v>
      </c>
      <c r="AP324" s="69"/>
      <c r="AQ324" s="101">
        <v>0</v>
      </c>
      <c r="AR324" s="40">
        <v>0</v>
      </c>
      <c r="AS324" s="31">
        <v>0</v>
      </c>
      <c r="AT324" s="31">
        <v>0</v>
      </c>
      <c r="AU324" s="31">
        <v>45</v>
      </c>
      <c r="AV324" s="39">
        <v>45</v>
      </c>
      <c r="AW324" s="31"/>
      <c r="AX324" s="31"/>
      <c r="AY324" s="31"/>
      <c r="AZ324" s="31"/>
      <c r="BA324" s="39"/>
      <c r="BB324" s="152">
        <f t="shared" si="97"/>
        <v>90</v>
      </c>
      <c r="BC324" s="19">
        <v>519778</v>
      </c>
      <c r="BD324" s="19">
        <v>176914</v>
      </c>
      <c r="BE324" s="19" t="s">
        <v>1420</v>
      </c>
      <c r="BF324"/>
      <c r="BH324" t="s">
        <v>1404</v>
      </c>
      <c r="BL324" t="s">
        <v>1544</v>
      </c>
    </row>
    <row r="325" spans="1:66" ht="15" customHeight="1" x14ac:dyDescent="0.25">
      <c r="A325" s="19" t="s">
        <v>1301</v>
      </c>
      <c r="B325" s="19" t="s">
        <v>20</v>
      </c>
      <c r="C325" s="19"/>
      <c r="D325" s="34">
        <v>44088</v>
      </c>
      <c r="E325" s="34">
        <v>45183</v>
      </c>
      <c r="F325" s="34"/>
      <c r="G325" s="34"/>
      <c r="H325" s="33" t="s">
        <v>1255</v>
      </c>
      <c r="I325" s="19" t="s">
        <v>1319</v>
      </c>
      <c r="J325" s="19" t="s">
        <v>1254</v>
      </c>
      <c r="K325" s="21" t="s">
        <v>1555</v>
      </c>
      <c r="L325" s="19" t="s">
        <v>1314</v>
      </c>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100">
        <f t="shared" si="96"/>
        <v>83</v>
      </c>
      <c r="AP325" s="69"/>
      <c r="AQ325" s="101">
        <v>0</v>
      </c>
      <c r="AR325" s="40">
        <v>0</v>
      </c>
      <c r="AS325" s="31">
        <v>0</v>
      </c>
      <c r="AT325" s="31">
        <v>0</v>
      </c>
      <c r="AU325" s="31">
        <v>41.5</v>
      </c>
      <c r="AV325" s="39">
        <v>41.5</v>
      </c>
      <c r="AW325" s="31"/>
      <c r="AX325" s="31"/>
      <c r="AY325" s="31"/>
      <c r="AZ325" s="31"/>
      <c r="BA325" s="39"/>
      <c r="BB325" s="152">
        <f t="shared" si="97"/>
        <v>83</v>
      </c>
      <c r="BC325" s="19">
        <v>521203</v>
      </c>
      <c r="BD325" s="19">
        <v>175677</v>
      </c>
      <c r="BE325" s="19" t="s">
        <v>1459</v>
      </c>
      <c r="BF325"/>
    </row>
    <row r="326" spans="1:66" ht="15" customHeight="1" x14ac:dyDescent="0.25">
      <c r="A326" s="19" t="s">
        <v>1330</v>
      </c>
      <c r="B326" s="19" t="s">
        <v>20</v>
      </c>
      <c r="C326" s="19"/>
      <c r="D326" s="34"/>
      <c r="E326" s="34"/>
      <c r="F326" s="34"/>
      <c r="G326" s="34"/>
      <c r="H326" s="33" t="s">
        <v>1255</v>
      </c>
      <c r="I326" s="19" t="s">
        <v>1319</v>
      </c>
      <c r="J326" s="19" t="s">
        <v>1334</v>
      </c>
      <c r="K326" s="19" t="s">
        <v>1554</v>
      </c>
      <c r="L326" s="19" t="s">
        <v>1331</v>
      </c>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100">
        <f t="shared" si="96"/>
        <v>80</v>
      </c>
      <c r="AQ326" s="101">
        <v>0</v>
      </c>
      <c r="AR326" s="40">
        <v>0</v>
      </c>
      <c r="AS326" s="44">
        <v>0</v>
      </c>
      <c r="AT326" s="31">
        <v>0</v>
      </c>
      <c r="AU326" s="31">
        <v>0</v>
      </c>
      <c r="AV326" s="39">
        <v>80</v>
      </c>
      <c r="AW326" s="31"/>
      <c r="AX326" s="31"/>
      <c r="AY326" s="31"/>
      <c r="AZ326" s="31"/>
      <c r="BA326" s="39"/>
      <c r="BB326" s="152">
        <f t="shared" si="97"/>
        <v>80</v>
      </c>
      <c r="BC326" s="19">
        <v>518920</v>
      </c>
      <c r="BD326" s="19">
        <v>175418</v>
      </c>
      <c r="BE326" s="19" t="s">
        <v>1422</v>
      </c>
      <c r="BF326"/>
    </row>
    <row r="327" spans="1:66" ht="15" customHeight="1" x14ac:dyDescent="0.25">
      <c r="A327" s="19" t="s">
        <v>1302</v>
      </c>
      <c r="B327" s="19" t="s">
        <v>20</v>
      </c>
      <c r="C327" s="19"/>
      <c r="D327" s="34"/>
      <c r="E327" s="34"/>
      <c r="F327" s="34"/>
      <c r="G327" s="34"/>
      <c r="H327" s="33" t="s">
        <v>1255</v>
      </c>
      <c r="I327" s="19" t="s">
        <v>1319</v>
      </c>
      <c r="J327" s="19" t="s">
        <v>1303</v>
      </c>
      <c r="K327" s="21" t="s">
        <v>1552</v>
      </c>
      <c r="L327" s="19" t="s">
        <v>1315</v>
      </c>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100">
        <f t="shared" si="96"/>
        <v>46</v>
      </c>
      <c r="AP327" s="69"/>
      <c r="AQ327" s="101">
        <v>0</v>
      </c>
      <c r="AR327" s="40">
        <v>0</v>
      </c>
      <c r="AS327" s="31">
        <v>0</v>
      </c>
      <c r="AT327" s="31">
        <v>0</v>
      </c>
      <c r="AU327" s="31">
        <v>23</v>
      </c>
      <c r="AV327" s="39">
        <v>23</v>
      </c>
      <c r="AW327" s="31"/>
      <c r="AX327" s="31"/>
      <c r="AY327" s="31"/>
      <c r="AZ327" s="31"/>
      <c r="BA327" s="39"/>
      <c r="BB327" s="152">
        <f t="shared" si="97"/>
        <v>46</v>
      </c>
      <c r="BC327" s="19">
        <v>516060</v>
      </c>
      <c r="BD327" s="19">
        <v>173599</v>
      </c>
      <c r="BE327" s="19" t="s">
        <v>1426</v>
      </c>
      <c r="BF327"/>
      <c r="BG327" t="s">
        <v>1406</v>
      </c>
    </row>
    <row r="328" spans="1:66" ht="15" customHeight="1" x14ac:dyDescent="0.25">
      <c r="A328" s="19" t="s">
        <v>1332</v>
      </c>
      <c r="B328" s="19" t="s">
        <v>20</v>
      </c>
      <c r="C328" s="19"/>
      <c r="D328" s="34">
        <v>44111</v>
      </c>
      <c r="E328" s="34"/>
      <c r="F328" s="34"/>
      <c r="G328" s="34"/>
      <c r="H328" s="33" t="s">
        <v>1255</v>
      </c>
      <c r="I328" s="19" t="s">
        <v>11</v>
      </c>
      <c r="J328" s="19" t="s">
        <v>1335</v>
      </c>
      <c r="K328" s="19" t="s">
        <v>1553</v>
      </c>
      <c r="L328" s="46" t="s">
        <v>1333</v>
      </c>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100">
        <f t="shared" si="96"/>
        <v>20</v>
      </c>
      <c r="AQ328" s="101">
        <v>0</v>
      </c>
      <c r="AR328" s="40">
        <v>0</v>
      </c>
      <c r="AS328" s="31">
        <v>0</v>
      </c>
      <c r="AT328" s="31">
        <v>0</v>
      </c>
      <c r="AU328" s="31">
        <v>10</v>
      </c>
      <c r="AV328" s="39">
        <v>10</v>
      </c>
      <c r="AW328" s="31"/>
      <c r="AX328" s="31"/>
      <c r="AY328" s="31"/>
      <c r="AZ328" s="31"/>
      <c r="BA328" s="39"/>
      <c r="BB328" s="152">
        <f t="shared" si="97"/>
        <v>20</v>
      </c>
      <c r="BC328" s="19">
        <v>515141</v>
      </c>
      <c r="BD328" s="19">
        <v>171791</v>
      </c>
      <c r="BE328" s="19" t="s">
        <v>1458</v>
      </c>
      <c r="BF328"/>
    </row>
    <row r="329" spans="1:66" ht="15" customHeight="1" x14ac:dyDescent="0.25">
      <c r="A329" s="19" t="s">
        <v>1336</v>
      </c>
      <c r="B329" s="19" t="s">
        <v>48</v>
      </c>
      <c r="C329" s="19"/>
      <c r="D329" s="34"/>
      <c r="E329" s="34"/>
      <c r="F329" s="34"/>
      <c r="G329" s="34"/>
      <c r="H329" s="33" t="s">
        <v>1255</v>
      </c>
      <c r="I329" s="19" t="s">
        <v>1319</v>
      </c>
      <c r="J329" s="19" t="s">
        <v>1337</v>
      </c>
      <c r="K329" s="19"/>
      <c r="L329" s="46" t="s">
        <v>1360</v>
      </c>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100">
        <f t="shared" si="96"/>
        <v>20</v>
      </c>
      <c r="AQ329" s="101">
        <v>0</v>
      </c>
      <c r="AR329" s="40">
        <v>0</v>
      </c>
      <c r="AS329" s="31">
        <v>0</v>
      </c>
      <c r="AT329" s="31">
        <v>0</v>
      </c>
      <c r="AU329" s="31">
        <v>0</v>
      </c>
      <c r="AV329" s="39">
        <v>20</v>
      </c>
      <c r="AW329" s="31">
        <v>10</v>
      </c>
      <c r="AX329" s="31">
        <v>0</v>
      </c>
      <c r="AY329" s="31">
        <v>0</v>
      </c>
      <c r="AZ329" s="31">
        <v>0</v>
      </c>
      <c r="BA329" s="39">
        <v>0</v>
      </c>
      <c r="BB329" s="152">
        <f t="shared" si="97"/>
        <v>30</v>
      </c>
      <c r="BC329" s="19">
        <v>514682</v>
      </c>
      <c r="BD329" s="19">
        <v>174192</v>
      </c>
      <c r="BE329" s="19" t="s">
        <v>1428</v>
      </c>
      <c r="BF329"/>
    </row>
    <row r="330" spans="1:66" ht="15" customHeight="1" x14ac:dyDescent="0.25">
      <c r="A330" s="19" t="s">
        <v>1253</v>
      </c>
      <c r="B330" s="19" t="s">
        <v>48</v>
      </c>
      <c r="C330" s="19"/>
      <c r="D330" s="34"/>
      <c r="E330" s="34"/>
      <c r="F330" s="34"/>
      <c r="G330" s="34"/>
      <c r="H330" s="33" t="s">
        <v>1255</v>
      </c>
      <c r="I330" s="19" t="s">
        <v>1319</v>
      </c>
      <c r="J330" s="19" t="s">
        <v>1253</v>
      </c>
      <c r="K330" s="19" t="s">
        <v>1253</v>
      </c>
      <c r="L330" s="19" t="s">
        <v>1253</v>
      </c>
      <c r="M330" s="56"/>
      <c r="N330" s="56"/>
      <c r="O330" s="56"/>
      <c r="P330" s="56"/>
      <c r="Q330" s="56"/>
      <c r="R330" s="56"/>
      <c r="S330" s="56"/>
      <c r="T330" s="56"/>
      <c r="U330" s="56"/>
      <c r="V330" s="56"/>
      <c r="W330" s="56"/>
      <c r="X330" s="56"/>
      <c r="Y330" s="56"/>
      <c r="Z330" s="56"/>
      <c r="AA330" s="56"/>
      <c r="AB330" s="56"/>
      <c r="AC330" s="56"/>
      <c r="AD330" s="56"/>
      <c r="AE330" s="56"/>
      <c r="AF330" s="56"/>
      <c r="AG330" s="56">
        <f t="shared" ref="AG330:AM330" si="98">X330-N330</f>
        <v>0</v>
      </c>
      <c r="AH330" s="56">
        <f t="shared" si="98"/>
        <v>0</v>
      </c>
      <c r="AI330" s="56">
        <f t="shared" si="98"/>
        <v>0</v>
      </c>
      <c r="AJ330" s="56">
        <f t="shared" si="98"/>
        <v>0</v>
      </c>
      <c r="AK330" s="56">
        <f t="shared" si="98"/>
        <v>0</v>
      </c>
      <c r="AL330" s="56">
        <f t="shared" si="98"/>
        <v>0</v>
      </c>
      <c r="AM330" s="56">
        <f t="shared" si="98"/>
        <v>0</v>
      </c>
      <c r="AN330" s="56">
        <f>0-U330</f>
        <v>0</v>
      </c>
      <c r="AO330" s="100">
        <f t="shared" si="96"/>
        <v>742</v>
      </c>
      <c r="AQ330" s="101">
        <v>0</v>
      </c>
      <c r="AR330" s="40">
        <v>20</v>
      </c>
      <c r="AS330" s="31">
        <v>20</v>
      </c>
      <c r="AT330" s="31">
        <v>234</v>
      </c>
      <c r="AU330" s="31">
        <v>234</v>
      </c>
      <c r="AV330" s="39">
        <v>234</v>
      </c>
      <c r="AW330" s="31">
        <v>234</v>
      </c>
      <c r="AX330" s="31">
        <v>234</v>
      </c>
      <c r="AY330" s="31">
        <v>234</v>
      </c>
      <c r="AZ330" s="31">
        <v>234</v>
      </c>
      <c r="BA330" s="39">
        <v>234</v>
      </c>
      <c r="BB330" s="152">
        <f t="shared" si="97"/>
        <v>1912</v>
      </c>
      <c r="BC330" s="19"/>
      <c r="BD330" s="19"/>
      <c r="BE330" s="46" t="s">
        <v>1320</v>
      </c>
      <c r="BF330" s="96"/>
    </row>
    <row r="331" spans="1:66" x14ac:dyDescent="0.25">
      <c r="AP331" s="69"/>
      <c r="BB331" s="153"/>
    </row>
  </sheetData>
  <autoFilter ref="A1:BN331" xr:uid="{038C566F-5720-4986-AF38-40C6FD81CF9D}">
    <sortState xmlns:xlrd2="http://schemas.microsoft.com/office/spreadsheetml/2017/richdata2" ref="A2:BN331">
      <sortCondition ref="H1:H331"/>
    </sortState>
  </autoFilter>
  <conditionalFormatting sqref="A55">
    <cfRule type="duplicateValues" dxfId="2466" priority="5"/>
    <cfRule type="duplicateValues" dxfId="2465" priority="6"/>
  </conditionalFormatting>
  <conditionalFormatting sqref="A55">
    <cfRule type="duplicateValues" dxfId="2464" priority="4"/>
  </conditionalFormatting>
  <conditionalFormatting sqref="A55">
    <cfRule type="duplicateValues" dxfId="2463" priority="3"/>
  </conditionalFormatting>
  <conditionalFormatting sqref="A55">
    <cfRule type="duplicateValues" dxfId="2462" priority="2"/>
  </conditionalFormatting>
  <conditionalFormatting sqref="A55">
    <cfRule type="duplicateValues" dxfId="2461" priority="1"/>
  </conditionalFormatting>
  <pageMargins left="0.7" right="0.7" top="0.75" bottom="0.75" header="0.3" footer="0.3"/>
  <pageSetup paperSize="9" orientation="portrait" r:id="rId1"/>
  <headerFooter>
    <oddHeader>&amp;L&amp;"Calibri"&amp;10&amp;K000000Official&amp;1#</oddHeader>
  </headerFooter>
  <ignoredErrors>
    <ignoredError sqref="AT120:AU120" formula="1"/>
    <ignoredError sqref="BB312:BB330 BB2:BB30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946C1-1864-4124-B8DB-FDAA92E97081}">
  <dimension ref="B3:S457"/>
  <sheetViews>
    <sheetView zoomScale="85" zoomScaleNormal="85" workbookViewId="0"/>
  </sheetViews>
  <sheetFormatPr defaultRowHeight="12.75" x14ac:dyDescent="0.2"/>
  <cols>
    <col min="1" max="18" width="30.7109375" style="253" customWidth="1"/>
    <col min="19" max="19" width="21.7109375" style="253" bestFit="1" customWidth="1"/>
    <col min="20" max="20" width="15.85546875" style="253" bestFit="1" customWidth="1"/>
    <col min="21" max="21" width="16" style="253" bestFit="1" customWidth="1"/>
    <col min="22" max="22" width="8.140625" style="253" bestFit="1" customWidth="1"/>
    <col min="23" max="23" width="14.85546875" style="253" bestFit="1" customWidth="1"/>
    <col min="24" max="24" width="9.5703125" style="253" bestFit="1" customWidth="1"/>
    <col min="25" max="25" width="15" style="253" bestFit="1" customWidth="1"/>
    <col min="26" max="27" width="16" style="253" bestFit="1" customWidth="1"/>
    <col min="28" max="28" width="4.140625" style="253" bestFit="1" customWidth="1"/>
    <col min="29" max="31" width="3.140625" style="253" bestFit="1" customWidth="1"/>
    <col min="32" max="32" width="11.28515625" style="253" bestFit="1" customWidth="1"/>
    <col min="33" max="16384" width="9.140625" style="253"/>
  </cols>
  <sheetData>
    <row r="3" spans="2:7" ht="13.5" thickBot="1" x14ac:dyDescent="0.25">
      <c r="B3" s="252" t="s">
        <v>1118</v>
      </c>
    </row>
    <row r="4" spans="2:7" ht="13.5" thickBot="1" x14ac:dyDescent="0.25">
      <c r="B4" s="254" t="s">
        <v>1196</v>
      </c>
      <c r="C4" s="255" t="s">
        <v>1099</v>
      </c>
      <c r="F4" s="256" t="s">
        <v>1196</v>
      </c>
      <c r="G4" s="256" t="s">
        <v>1255</v>
      </c>
    </row>
    <row r="5" spans="2:7" ht="13.5" thickBot="1" x14ac:dyDescent="0.25"/>
    <row r="6" spans="2:7" x14ac:dyDescent="0.2">
      <c r="B6" s="257" t="s">
        <v>1197</v>
      </c>
      <c r="F6" s="264" t="s">
        <v>1304</v>
      </c>
      <c r="G6" s="266" t="s">
        <v>1197</v>
      </c>
    </row>
    <row r="7" spans="2:7" ht="13.5" thickBot="1" x14ac:dyDescent="0.25">
      <c r="B7" s="258">
        <v>331</v>
      </c>
      <c r="F7" s="268" t="s">
        <v>1254</v>
      </c>
      <c r="G7" s="269">
        <v>83</v>
      </c>
    </row>
    <row r="8" spans="2:7" x14ac:dyDescent="0.2">
      <c r="F8" s="268" t="s">
        <v>1334</v>
      </c>
      <c r="G8" s="269">
        <v>80</v>
      </c>
    </row>
    <row r="9" spans="2:7" x14ac:dyDescent="0.2">
      <c r="F9" s="268" t="s">
        <v>1306</v>
      </c>
      <c r="G9" s="269">
        <v>90</v>
      </c>
    </row>
    <row r="10" spans="2:7" ht="15.75" customHeight="1" thickBot="1" x14ac:dyDescent="0.25">
      <c r="B10" s="252" t="s">
        <v>1158</v>
      </c>
      <c r="F10" s="268" t="s">
        <v>1337</v>
      </c>
      <c r="G10" s="269">
        <v>20</v>
      </c>
    </row>
    <row r="11" spans="2:7" ht="13.5" thickBot="1" x14ac:dyDescent="0.25">
      <c r="B11" s="254" t="s">
        <v>1196</v>
      </c>
      <c r="C11" s="255" t="s">
        <v>1101</v>
      </c>
      <c r="F11" s="268" t="s">
        <v>1303</v>
      </c>
      <c r="G11" s="269">
        <v>46</v>
      </c>
    </row>
    <row r="12" spans="2:7" ht="13.5" thickBot="1" x14ac:dyDescent="0.25">
      <c r="B12" s="254" t="s">
        <v>1198</v>
      </c>
      <c r="C12" s="255" t="s">
        <v>1199</v>
      </c>
      <c r="F12" s="268" t="s">
        <v>1253</v>
      </c>
      <c r="G12" s="269">
        <v>742</v>
      </c>
    </row>
    <row r="13" spans="2:7" ht="13.5" thickBot="1" x14ac:dyDescent="0.25">
      <c r="F13" s="268" t="s">
        <v>1308</v>
      </c>
      <c r="G13" s="269">
        <v>300</v>
      </c>
    </row>
    <row r="14" spans="2:7" x14ac:dyDescent="0.2">
      <c r="B14" s="257" t="s">
        <v>1197</v>
      </c>
      <c r="F14" s="268" t="s">
        <v>1335</v>
      </c>
      <c r="G14" s="269">
        <v>20</v>
      </c>
    </row>
    <row r="15" spans="2:7" ht="13.5" thickBot="1" x14ac:dyDescent="0.25">
      <c r="B15" s="258">
        <v>462</v>
      </c>
      <c r="F15" s="270" t="s">
        <v>1102</v>
      </c>
      <c r="G15" s="272">
        <v>1381</v>
      </c>
    </row>
    <row r="18" spans="2:3" ht="15.75" customHeight="1" thickBot="1" x14ac:dyDescent="0.25">
      <c r="B18" s="252" t="s">
        <v>1159</v>
      </c>
    </row>
    <row r="19" spans="2:3" ht="15.75" customHeight="1" thickBot="1" x14ac:dyDescent="0.25">
      <c r="B19" s="254" t="s">
        <v>1300</v>
      </c>
      <c r="C19" s="255" t="s">
        <v>1201</v>
      </c>
    </row>
    <row r="20" spans="2:3" ht="13.5" thickBot="1" x14ac:dyDescent="0.25">
      <c r="B20" s="254" t="s">
        <v>1198</v>
      </c>
      <c r="C20" s="255" t="s">
        <v>1199</v>
      </c>
    </row>
    <row r="21" spans="2:3" ht="13.5" thickBot="1" x14ac:dyDescent="0.25">
      <c r="B21" s="254" t="s">
        <v>1196</v>
      </c>
      <c r="C21" s="255" t="s">
        <v>1100</v>
      </c>
    </row>
    <row r="22" spans="2:3" ht="13.5" thickBot="1" x14ac:dyDescent="0.25"/>
    <row r="23" spans="2:3" x14ac:dyDescent="0.2">
      <c r="B23" s="257" t="s">
        <v>1197</v>
      </c>
    </row>
    <row r="24" spans="2:3" ht="13.5" thickBot="1" x14ac:dyDescent="0.25">
      <c r="B24" s="258">
        <v>118</v>
      </c>
    </row>
    <row r="28" spans="2:3" ht="13.5" thickBot="1" x14ac:dyDescent="0.25">
      <c r="B28" s="252" t="s">
        <v>1160</v>
      </c>
    </row>
    <row r="29" spans="2:3" ht="13.5" thickBot="1" x14ac:dyDescent="0.25">
      <c r="B29" s="254" t="s">
        <v>1198</v>
      </c>
      <c r="C29" s="255" t="s">
        <v>1199</v>
      </c>
    </row>
    <row r="30" spans="2:3" ht="13.5" thickBot="1" x14ac:dyDescent="0.25">
      <c r="B30" s="254" t="s">
        <v>1196</v>
      </c>
      <c r="C30" s="255" t="s">
        <v>1101</v>
      </c>
    </row>
    <row r="31" spans="2:3" ht="13.5" thickBot="1" x14ac:dyDescent="0.25"/>
    <row r="32" spans="2:3" x14ac:dyDescent="0.2">
      <c r="B32" s="257" t="s">
        <v>1197</v>
      </c>
    </row>
    <row r="33" spans="2:3" ht="13.5" thickBot="1" x14ac:dyDescent="0.25">
      <c r="B33" s="258">
        <v>90</v>
      </c>
    </row>
    <row r="35" spans="2:3" ht="13.5" thickBot="1" x14ac:dyDescent="0.25">
      <c r="B35" s="252" t="s">
        <v>1161</v>
      </c>
    </row>
    <row r="36" spans="2:3" ht="13.5" thickBot="1" x14ac:dyDescent="0.25">
      <c r="B36" s="254" t="s">
        <v>1198</v>
      </c>
      <c r="C36" s="255" t="s">
        <v>1199</v>
      </c>
    </row>
    <row r="37" spans="2:3" ht="13.5" thickBot="1" x14ac:dyDescent="0.25">
      <c r="B37" s="254" t="s">
        <v>1200</v>
      </c>
      <c r="C37" s="255" t="s">
        <v>1201</v>
      </c>
    </row>
    <row r="38" spans="2:3" ht="13.5" thickBot="1" x14ac:dyDescent="0.25">
      <c r="B38" s="254" t="s">
        <v>1196</v>
      </c>
      <c r="C38" s="255" t="s">
        <v>1100</v>
      </c>
    </row>
    <row r="39" spans="2:3" ht="13.5" thickBot="1" x14ac:dyDescent="0.25"/>
    <row r="40" spans="2:3" x14ac:dyDescent="0.2">
      <c r="B40" s="257" t="s">
        <v>1197</v>
      </c>
    </row>
    <row r="41" spans="2:3" ht="13.5" thickBot="1" x14ac:dyDescent="0.25">
      <c r="B41" s="258">
        <v>118</v>
      </c>
    </row>
    <row r="44" spans="2:3" ht="13.5" thickBot="1" x14ac:dyDescent="0.25">
      <c r="B44" s="252" t="s">
        <v>1162</v>
      </c>
    </row>
    <row r="45" spans="2:3" ht="13.5" thickBot="1" x14ac:dyDescent="0.25">
      <c r="B45" s="254" t="s">
        <v>1198</v>
      </c>
      <c r="C45" s="255" t="s">
        <v>1202</v>
      </c>
    </row>
    <row r="46" spans="2:3" ht="13.5" thickBot="1" x14ac:dyDescent="0.25">
      <c r="B46" s="254" t="s">
        <v>1200</v>
      </c>
      <c r="C46" s="255" t="s">
        <v>1203</v>
      </c>
    </row>
    <row r="47" spans="2:3" ht="13.5" thickBot="1" x14ac:dyDescent="0.25">
      <c r="B47" s="254" t="s">
        <v>1196</v>
      </c>
      <c r="C47" s="255" t="s">
        <v>1100</v>
      </c>
    </row>
    <row r="48" spans="2:3" ht="13.5" thickBot="1" x14ac:dyDescent="0.25"/>
    <row r="49" spans="2:9" x14ac:dyDescent="0.2">
      <c r="B49" s="257" t="s">
        <v>1197</v>
      </c>
    </row>
    <row r="50" spans="2:9" ht="13.5" thickBot="1" x14ac:dyDescent="0.25">
      <c r="B50" s="258">
        <v>50</v>
      </c>
    </row>
    <row r="54" spans="2:9" x14ac:dyDescent="0.2">
      <c r="B54" s="256"/>
      <c r="C54" s="256"/>
    </row>
    <row r="55" spans="2:9" x14ac:dyDescent="0.2">
      <c r="B55" s="256"/>
      <c r="C55" s="256"/>
    </row>
    <row r="56" spans="2:9" x14ac:dyDescent="0.2">
      <c r="B56" s="252" t="s">
        <v>1269</v>
      </c>
    </row>
    <row r="58" spans="2:9" ht="13.5" thickBot="1" x14ac:dyDescent="0.25">
      <c r="B58" s="252" t="s">
        <v>1277</v>
      </c>
      <c r="E58" s="252" t="s">
        <v>1278</v>
      </c>
      <c r="H58" s="252" t="s">
        <v>1279</v>
      </c>
    </row>
    <row r="59" spans="2:9" ht="13.5" thickBot="1" x14ac:dyDescent="0.25">
      <c r="B59" s="254" t="s">
        <v>1196</v>
      </c>
      <c r="C59" s="255" t="s">
        <v>1099</v>
      </c>
      <c r="E59" s="254" t="s">
        <v>1196</v>
      </c>
      <c r="F59" s="255" t="s">
        <v>1101</v>
      </c>
      <c r="H59" s="254" t="s">
        <v>1196</v>
      </c>
      <c r="I59" s="255" t="s">
        <v>1100</v>
      </c>
    </row>
    <row r="60" spans="2:9" ht="13.5" thickBot="1" x14ac:dyDescent="0.25">
      <c r="B60" s="254" t="s">
        <v>1198</v>
      </c>
      <c r="C60" s="255" t="s">
        <v>1199</v>
      </c>
      <c r="E60" s="254" t="s">
        <v>1198</v>
      </c>
      <c r="F60" s="255" t="s">
        <v>1199</v>
      </c>
      <c r="H60" s="254" t="s">
        <v>1198</v>
      </c>
      <c r="I60" s="255" t="s">
        <v>1199</v>
      </c>
    </row>
    <row r="61" spans="2:9" ht="13.5" thickBot="1" x14ac:dyDescent="0.25"/>
    <row r="62" spans="2:9" x14ac:dyDescent="0.2">
      <c r="B62" s="257" t="s">
        <v>1197</v>
      </c>
      <c r="E62" s="257" t="s">
        <v>1197</v>
      </c>
      <c r="H62" s="257" t="s">
        <v>1197</v>
      </c>
    </row>
    <row r="63" spans="2:9" ht="13.5" thickBot="1" x14ac:dyDescent="0.25">
      <c r="B63" s="258">
        <v>269</v>
      </c>
      <c r="E63" s="258">
        <v>462</v>
      </c>
      <c r="H63" s="258">
        <v>156</v>
      </c>
    </row>
    <row r="67" spans="2:9" ht="13.5" thickBot="1" x14ac:dyDescent="0.25">
      <c r="B67" s="252" t="s">
        <v>1280</v>
      </c>
      <c r="E67" s="252" t="s">
        <v>1281</v>
      </c>
      <c r="H67" s="252" t="s">
        <v>1282</v>
      </c>
    </row>
    <row r="68" spans="2:9" ht="13.5" thickBot="1" x14ac:dyDescent="0.25">
      <c r="B68" s="254" t="s">
        <v>1196</v>
      </c>
      <c r="C68" s="255" t="s">
        <v>1099</v>
      </c>
      <c r="E68" s="254" t="s">
        <v>1196</v>
      </c>
      <c r="F68" s="255" t="s">
        <v>1101</v>
      </c>
      <c r="H68" s="254" t="s">
        <v>1196</v>
      </c>
      <c r="I68" s="255" t="s">
        <v>1100</v>
      </c>
    </row>
    <row r="69" spans="2:9" ht="13.5" thickBot="1" x14ac:dyDescent="0.25">
      <c r="B69" s="254" t="s">
        <v>1198</v>
      </c>
      <c r="C69" s="255" t="s">
        <v>1199</v>
      </c>
      <c r="E69" s="254" t="s">
        <v>1198</v>
      </c>
      <c r="F69" s="255" t="s">
        <v>1199</v>
      </c>
      <c r="H69" s="254" t="s">
        <v>1198</v>
      </c>
      <c r="I69" s="255" t="s">
        <v>1199</v>
      </c>
    </row>
    <row r="70" spans="2:9" ht="13.5" thickBot="1" x14ac:dyDescent="0.25"/>
    <row r="71" spans="2:9" x14ac:dyDescent="0.2">
      <c r="B71" s="257" t="s">
        <v>1208</v>
      </c>
      <c r="E71" s="257" t="s">
        <v>1208</v>
      </c>
      <c r="H71" s="257" t="s">
        <v>1208</v>
      </c>
    </row>
    <row r="72" spans="2:9" ht="13.5" thickBot="1" x14ac:dyDescent="0.25">
      <c r="B72" s="258">
        <v>282</v>
      </c>
      <c r="E72" s="258">
        <v>530</v>
      </c>
      <c r="H72" s="258">
        <v>193</v>
      </c>
    </row>
    <row r="76" spans="2:9" ht="13.5" thickBot="1" x14ac:dyDescent="0.25">
      <c r="B76" s="252" t="s">
        <v>1283</v>
      </c>
      <c r="E76" s="252" t="s">
        <v>1284</v>
      </c>
      <c r="H76" s="252" t="s">
        <v>1285</v>
      </c>
    </row>
    <row r="77" spans="2:9" ht="13.5" thickBot="1" x14ac:dyDescent="0.25">
      <c r="B77" s="254" t="s">
        <v>1196</v>
      </c>
      <c r="C77" s="255" t="s">
        <v>1099</v>
      </c>
      <c r="E77" s="254" t="s">
        <v>1196</v>
      </c>
      <c r="F77" s="255" t="s">
        <v>1101</v>
      </c>
      <c r="H77" s="254" t="s">
        <v>1196</v>
      </c>
      <c r="I77" s="255" t="s">
        <v>1100</v>
      </c>
    </row>
    <row r="78" spans="2:9" ht="13.5" thickBot="1" x14ac:dyDescent="0.25">
      <c r="B78" s="254" t="s">
        <v>1198</v>
      </c>
      <c r="C78" s="255" t="s">
        <v>1199</v>
      </c>
      <c r="E78" s="254" t="s">
        <v>1198</v>
      </c>
      <c r="F78" s="255" t="s">
        <v>1199</v>
      </c>
      <c r="H78" s="254" t="s">
        <v>1198</v>
      </c>
      <c r="I78" s="255" t="s">
        <v>1199</v>
      </c>
    </row>
    <row r="79" spans="2:9" ht="13.5" thickBot="1" x14ac:dyDescent="0.25"/>
    <row r="80" spans="2:9" x14ac:dyDescent="0.2">
      <c r="B80" s="257" t="s">
        <v>1197</v>
      </c>
      <c r="E80" s="257" t="s">
        <v>1197</v>
      </c>
      <c r="H80" s="257" t="s">
        <v>1197</v>
      </c>
    </row>
    <row r="81" spans="2:9" ht="13.5" thickBot="1" x14ac:dyDescent="0.25">
      <c r="B81" s="258">
        <v>62</v>
      </c>
      <c r="E81" s="258">
        <v>90</v>
      </c>
      <c r="H81" s="258">
        <v>168</v>
      </c>
    </row>
    <row r="84" spans="2:9" x14ac:dyDescent="0.2">
      <c r="B84" s="252"/>
      <c r="E84" s="252"/>
      <c r="H84" s="252"/>
    </row>
    <row r="85" spans="2:9" ht="13.5" thickBot="1" x14ac:dyDescent="0.25">
      <c r="B85" s="252" t="s">
        <v>1286</v>
      </c>
      <c r="E85" s="252" t="s">
        <v>1287</v>
      </c>
      <c r="H85" s="252" t="s">
        <v>1288</v>
      </c>
    </row>
    <row r="86" spans="2:9" ht="13.5" thickBot="1" x14ac:dyDescent="0.25">
      <c r="B86" s="254" t="s">
        <v>1196</v>
      </c>
      <c r="C86" s="255" t="s">
        <v>1099</v>
      </c>
      <c r="E86" s="254" t="s">
        <v>1196</v>
      </c>
      <c r="F86" s="255" t="s">
        <v>1101</v>
      </c>
      <c r="H86" s="254" t="s">
        <v>1196</v>
      </c>
      <c r="I86" s="255" t="s">
        <v>1100</v>
      </c>
    </row>
    <row r="87" spans="2:9" ht="13.5" thickBot="1" x14ac:dyDescent="0.25">
      <c r="B87" s="254" t="s">
        <v>1198</v>
      </c>
      <c r="C87" s="255" t="s">
        <v>1199</v>
      </c>
      <c r="E87" s="254" t="s">
        <v>1198</v>
      </c>
      <c r="F87" s="255" t="s">
        <v>1199</v>
      </c>
      <c r="H87" s="254" t="s">
        <v>1198</v>
      </c>
      <c r="I87" s="255" t="s">
        <v>1199</v>
      </c>
    </row>
    <row r="88" spans="2:9" ht="13.5" thickBot="1" x14ac:dyDescent="0.25"/>
    <row r="89" spans="2:9" x14ac:dyDescent="0.2">
      <c r="B89" s="257" t="s">
        <v>1208</v>
      </c>
      <c r="E89" s="257" t="s">
        <v>1208</v>
      </c>
      <c r="H89" s="257" t="s">
        <v>1208</v>
      </c>
    </row>
    <row r="90" spans="2:9" ht="13.5" thickBot="1" x14ac:dyDescent="0.25">
      <c r="B90" s="258">
        <v>100</v>
      </c>
      <c r="E90" s="258">
        <v>125</v>
      </c>
      <c r="H90" s="258">
        <v>201</v>
      </c>
    </row>
    <row r="93" spans="2:9" x14ac:dyDescent="0.2">
      <c r="B93" s="252"/>
    </row>
    <row r="94" spans="2:9" x14ac:dyDescent="0.2">
      <c r="B94" s="252"/>
      <c r="G94" s="252"/>
    </row>
    <row r="95" spans="2:9" ht="13.5" thickBot="1" x14ac:dyDescent="0.25">
      <c r="B95" s="260" t="s">
        <v>1212</v>
      </c>
      <c r="C95" s="260"/>
      <c r="E95" s="260" t="s">
        <v>1265</v>
      </c>
      <c r="F95" s="260"/>
      <c r="H95" s="260" t="s">
        <v>1213</v>
      </c>
      <c r="I95" s="260"/>
    </row>
    <row r="96" spans="2:9" ht="13.5" thickBot="1" x14ac:dyDescent="0.25">
      <c r="B96" s="254" t="s">
        <v>1196</v>
      </c>
      <c r="C96" s="255" t="s">
        <v>1099</v>
      </c>
      <c r="E96" s="254" t="s">
        <v>1196</v>
      </c>
      <c r="F96" s="255" t="s">
        <v>1101</v>
      </c>
      <c r="H96" s="254" t="s">
        <v>1196</v>
      </c>
      <c r="I96" s="255" t="s">
        <v>1100</v>
      </c>
    </row>
    <row r="97" spans="2:9" ht="13.5" thickBot="1" x14ac:dyDescent="0.25">
      <c r="B97" s="254" t="s">
        <v>1207</v>
      </c>
      <c r="C97" s="255" t="s">
        <v>1174</v>
      </c>
      <c r="E97" s="254" t="s">
        <v>1207</v>
      </c>
      <c r="F97" s="255" t="s">
        <v>1174</v>
      </c>
      <c r="H97" s="254" t="s">
        <v>1207</v>
      </c>
      <c r="I97" s="255" t="s">
        <v>1174</v>
      </c>
    </row>
    <row r="98" spans="2:9" ht="13.5" thickBot="1" x14ac:dyDescent="0.25"/>
    <row r="99" spans="2:9" x14ac:dyDescent="0.2">
      <c r="B99" s="257" t="s">
        <v>1197</v>
      </c>
      <c r="E99" s="257" t="s">
        <v>1197</v>
      </c>
      <c r="H99" s="257" t="s">
        <v>1197</v>
      </c>
    </row>
    <row r="100" spans="2:9" ht="13.5" thickBot="1" x14ac:dyDescent="0.25">
      <c r="B100" s="258"/>
      <c r="E100" s="258">
        <v>32</v>
      </c>
      <c r="H100" s="258">
        <v>4</v>
      </c>
    </row>
    <row r="103" spans="2:9" ht="13.5" thickBot="1" x14ac:dyDescent="0.25">
      <c r="B103" s="260" t="s">
        <v>1214</v>
      </c>
      <c r="C103" s="260"/>
      <c r="E103" s="260" t="s">
        <v>1270</v>
      </c>
      <c r="F103" s="260"/>
      <c r="H103" s="260" t="s">
        <v>1271</v>
      </c>
      <c r="I103" s="260"/>
    </row>
    <row r="104" spans="2:9" ht="13.5" thickBot="1" x14ac:dyDescent="0.25">
      <c r="B104" s="254" t="s">
        <v>1196</v>
      </c>
      <c r="C104" s="255" t="s">
        <v>1099</v>
      </c>
      <c r="E104" s="254" t="s">
        <v>1196</v>
      </c>
      <c r="F104" s="255" t="s">
        <v>1101</v>
      </c>
      <c r="H104" s="254" t="s">
        <v>1196</v>
      </c>
      <c r="I104" s="255" t="s">
        <v>1100</v>
      </c>
    </row>
    <row r="105" spans="2:9" ht="13.5" thickBot="1" x14ac:dyDescent="0.25">
      <c r="B105" s="254" t="s">
        <v>1207</v>
      </c>
      <c r="C105" s="255" t="s">
        <v>1215</v>
      </c>
      <c r="E105" s="254" t="s">
        <v>1207</v>
      </c>
      <c r="F105" s="255" t="s">
        <v>1199</v>
      </c>
      <c r="H105" s="254" t="s">
        <v>1207</v>
      </c>
      <c r="I105" s="255" t="s">
        <v>1199</v>
      </c>
    </row>
    <row r="106" spans="2:9" ht="13.5" thickBot="1" x14ac:dyDescent="0.25"/>
    <row r="107" spans="2:9" x14ac:dyDescent="0.2">
      <c r="B107" s="257" t="s">
        <v>1197</v>
      </c>
      <c r="E107" s="257" t="s">
        <v>1197</v>
      </c>
      <c r="H107" s="257" t="s">
        <v>1197</v>
      </c>
    </row>
    <row r="108" spans="2:9" ht="13.5" thickBot="1" x14ac:dyDescent="0.25">
      <c r="B108" s="258">
        <v>34</v>
      </c>
      <c r="E108" s="258">
        <v>18</v>
      </c>
      <c r="H108" s="258">
        <v>18</v>
      </c>
    </row>
    <row r="111" spans="2:9" ht="13.5" thickBot="1" x14ac:dyDescent="0.25">
      <c r="B111" s="260" t="s">
        <v>1216</v>
      </c>
      <c r="C111" s="260"/>
      <c r="E111" s="260" t="s">
        <v>1267</v>
      </c>
      <c r="F111" s="260"/>
      <c r="H111" s="260" t="s">
        <v>1272</v>
      </c>
      <c r="I111" s="260"/>
    </row>
    <row r="112" spans="2:9" ht="13.5" thickBot="1" x14ac:dyDescent="0.25">
      <c r="B112" s="254" t="s">
        <v>1196</v>
      </c>
      <c r="C112" s="255" t="s">
        <v>1099</v>
      </c>
      <c r="E112" s="254" t="s">
        <v>1196</v>
      </c>
      <c r="F112" s="255" t="s">
        <v>1101</v>
      </c>
      <c r="H112" s="254" t="s">
        <v>1196</v>
      </c>
      <c r="I112" s="255" t="s">
        <v>1100</v>
      </c>
    </row>
    <row r="113" spans="2:9" ht="13.5" thickBot="1" x14ac:dyDescent="0.25">
      <c r="B113" s="254" t="s">
        <v>1207</v>
      </c>
      <c r="C113" s="255" t="s">
        <v>1173</v>
      </c>
      <c r="E113" s="254" t="s">
        <v>1207</v>
      </c>
      <c r="F113" s="255" t="s">
        <v>1173</v>
      </c>
      <c r="H113" s="254" t="s">
        <v>1207</v>
      </c>
      <c r="I113" s="255" t="s">
        <v>1173</v>
      </c>
    </row>
    <row r="114" spans="2:9" ht="13.5" thickBot="1" x14ac:dyDescent="0.25"/>
    <row r="115" spans="2:9" x14ac:dyDescent="0.2">
      <c r="B115" s="257" t="s">
        <v>1197</v>
      </c>
      <c r="E115" s="257" t="s">
        <v>1197</v>
      </c>
      <c r="H115" s="257" t="s">
        <v>1197</v>
      </c>
    </row>
    <row r="116" spans="2:9" ht="13.5" thickBot="1" x14ac:dyDescent="0.25">
      <c r="B116" s="258">
        <v>297</v>
      </c>
      <c r="E116" s="258">
        <v>502</v>
      </c>
      <c r="H116" s="258">
        <v>302</v>
      </c>
    </row>
    <row r="120" spans="2:9" x14ac:dyDescent="0.2">
      <c r="B120" s="252"/>
      <c r="E120" s="252"/>
      <c r="H120" s="252"/>
    </row>
    <row r="121" spans="2:9" ht="13.5" thickBot="1" x14ac:dyDescent="0.25">
      <c r="B121" s="260" t="s">
        <v>1264</v>
      </c>
      <c r="C121" s="260"/>
      <c r="E121" s="260" t="s">
        <v>1266</v>
      </c>
      <c r="F121" s="260"/>
      <c r="H121" s="260" t="s">
        <v>1273</v>
      </c>
      <c r="I121" s="260"/>
    </row>
    <row r="122" spans="2:9" ht="13.5" thickBot="1" x14ac:dyDescent="0.25">
      <c r="B122" s="254" t="s">
        <v>1196</v>
      </c>
      <c r="C122" s="255" t="s">
        <v>1099</v>
      </c>
      <c r="E122" s="254" t="s">
        <v>1196</v>
      </c>
      <c r="F122" s="255" t="s">
        <v>1101</v>
      </c>
      <c r="H122" s="254" t="s">
        <v>1196</v>
      </c>
      <c r="I122" s="255" t="s">
        <v>1100</v>
      </c>
    </row>
    <row r="123" spans="2:9" ht="13.5" thickBot="1" x14ac:dyDescent="0.25">
      <c r="B123" s="254" t="s">
        <v>1207</v>
      </c>
      <c r="C123" s="255" t="s">
        <v>1174</v>
      </c>
      <c r="E123" s="254" t="s">
        <v>1207</v>
      </c>
      <c r="F123" s="255" t="s">
        <v>1174</v>
      </c>
      <c r="H123" s="254" t="s">
        <v>1207</v>
      </c>
      <c r="I123" s="255" t="s">
        <v>1174</v>
      </c>
    </row>
    <row r="124" spans="2:9" ht="13.5" thickBot="1" x14ac:dyDescent="0.25"/>
    <row r="125" spans="2:9" x14ac:dyDescent="0.2">
      <c r="B125" s="257" t="s">
        <v>1208</v>
      </c>
      <c r="E125" s="257" t="s">
        <v>1208</v>
      </c>
      <c r="H125" s="257" t="s">
        <v>1208</v>
      </c>
    </row>
    <row r="126" spans="2:9" ht="13.5" thickBot="1" x14ac:dyDescent="0.25">
      <c r="B126" s="258"/>
      <c r="E126" s="258">
        <v>32</v>
      </c>
      <c r="H126" s="258">
        <v>4</v>
      </c>
    </row>
    <row r="129" spans="2:9" ht="13.5" thickBot="1" x14ac:dyDescent="0.25">
      <c r="B129" s="260" t="s">
        <v>1263</v>
      </c>
      <c r="C129" s="260"/>
      <c r="E129" s="260" t="s">
        <v>1274</v>
      </c>
      <c r="F129" s="260"/>
      <c r="H129" s="260" t="s">
        <v>1275</v>
      </c>
      <c r="I129" s="260"/>
    </row>
    <row r="130" spans="2:9" ht="13.5" thickBot="1" x14ac:dyDescent="0.25">
      <c r="B130" s="254" t="s">
        <v>1196</v>
      </c>
      <c r="C130" s="255" t="s">
        <v>1099</v>
      </c>
      <c r="E130" s="254" t="s">
        <v>1196</v>
      </c>
      <c r="F130" s="255" t="s">
        <v>1101</v>
      </c>
      <c r="H130" s="254" t="s">
        <v>1196</v>
      </c>
      <c r="I130" s="255" t="s">
        <v>1100</v>
      </c>
    </row>
    <row r="131" spans="2:9" ht="13.5" thickBot="1" x14ac:dyDescent="0.25">
      <c r="B131" s="254" t="s">
        <v>1207</v>
      </c>
      <c r="C131" s="255" t="s">
        <v>1199</v>
      </c>
      <c r="E131" s="254" t="s">
        <v>1207</v>
      </c>
      <c r="F131" s="255" t="s">
        <v>1199</v>
      </c>
      <c r="H131" s="254" t="s">
        <v>1207</v>
      </c>
      <c r="I131" s="255" t="s">
        <v>1199</v>
      </c>
    </row>
    <row r="132" spans="2:9" ht="13.5" thickBot="1" x14ac:dyDescent="0.25"/>
    <row r="133" spans="2:9" x14ac:dyDescent="0.2">
      <c r="B133" s="257" t="s">
        <v>1208</v>
      </c>
      <c r="E133" s="257" t="s">
        <v>1208</v>
      </c>
      <c r="H133" s="257" t="s">
        <v>1208</v>
      </c>
    </row>
    <row r="134" spans="2:9" ht="13.5" thickBot="1" x14ac:dyDescent="0.25">
      <c r="B134" s="258">
        <v>34</v>
      </c>
      <c r="E134" s="258">
        <v>48</v>
      </c>
      <c r="H134" s="258">
        <v>18</v>
      </c>
    </row>
    <row r="137" spans="2:9" ht="13.5" thickBot="1" x14ac:dyDescent="0.25">
      <c r="B137" s="260" t="s">
        <v>1262</v>
      </c>
      <c r="C137" s="260"/>
      <c r="E137" s="260" t="s">
        <v>1268</v>
      </c>
      <c r="F137" s="260"/>
      <c r="H137" s="260" t="s">
        <v>1276</v>
      </c>
      <c r="I137" s="260"/>
    </row>
    <row r="138" spans="2:9" ht="13.5" thickBot="1" x14ac:dyDescent="0.25">
      <c r="B138" s="254" t="s">
        <v>1196</v>
      </c>
      <c r="C138" s="255" t="s">
        <v>1099</v>
      </c>
      <c r="E138" s="254" t="s">
        <v>1196</v>
      </c>
      <c r="F138" s="255" t="s">
        <v>1101</v>
      </c>
      <c r="H138" s="254" t="s">
        <v>1196</v>
      </c>
      <c r="I138" s="255" t="s">
        <v>1100</v>
      </c>
    </row>
    <row r="139" spans="2:9" ht="13.5" thickBot="1" x14ac:dyDescent="0.25">
      <c r="B139" s="254" t="s">
        <v>1207</v>
      </c>
      <c r="C139" s="255" t="s">
        <v>1173</v>
      </c>
      <c r="E139" s="254" t="s">
        <v>1207</v>
      </c>
      <c r="F139" s="255" t="s">
        <v>1173</v>
      </c>
      <c r="H139" s="254" t="s">
        <v>1207</v>
      </c>
      <c r="I139" s="255" t="s">
        <v>1173</v>
      </c>
    </row>
    <row r="140" spans="2:9" ht="13.5" thickBot="1" x14ac:dyDescent="0.25"/>
    <row r="141" spans="2:9" x14ac:dyDescent="0.2">
      <c r="B141" s="257" t="s">
        <v>1208</v>
      </c>
      <c r="E141" s="257" t="s">
        <v>1208</v>
      </c>
      <c r="H141" s="257" t="s">
        <v>1208</v>
      </c>
    </row>
    <row r="142" spans="2:9" ht="13.5" thickBot="1" x14ac:dyDescent="0.25">
      <c r="B142" s="258">
        <v>348</v>
      </c>
      <c r="E142" s="258">
        <v>575</v>
      </c>
      <c r="H142" s="258">
        <v>372</v>
      </c>
    </row>
    <row r="149" spans="2:12" x14ac:dyDescent="0.2">
      <c r="B149" s="252"/>
      <c r="C149" s="252"/>
      <c r="E149" s="252"/>
      <c r="K149" s="256"/>
      <c r="L149" s="256"/>
    </row>
    <row r="150" spans="2:12" ht="13.5" thickBot="1" x14ac:dyDescent="0.25">
      <c r="B150" s="252" t="s">
        <v>1217</v>
      </c>
      <c r="E150" s="252" t="s">
        <v>1218</v>
      </c>
      <c r="H150" s="252" t="s">
        <v>1219</v>
      </c>
      <c r="K150" s="261"/>
      <c r="L150" s="256"/>
    </row>
    <row r="151" spans="2:12" ht="13.5" thickBot="1" x14ac:dyDescent="0.25">
      <c r="B151" s="254" t="s">
        <v>1196</v>
      </c>
      <c r="C151" s="255" t="s">
        <v>1099</v>
      </c>
      <c r="E151" s="254" t="s">
        <v>1196</v>
      </c>
      <c r="F151" s="255" t="s">
        <v>1101</v>
      </c>
      <c r="H151" s="254" t="s">
        <v>1196</v>
      </c>
      <c r="I151" s="255" t="s">
        <v>1100</v>
      </c>
      <c r="K151" s="256"/>
      <c r="L151" s="256"/>
    </row>
    <row r="152" spans="2:12" ht="13.5" thickBot="1" x14ac:dyDescent="0.25">
      <c r="B152" s="254" t="s">
        <v>1198</v>
      </c>
      <c r="C152" s="255" t="s">
        <v>1199</v>
      </c>
      <c r="E152" s="254" t="s">
        <v>1198</v>
      </c>
      <c r="F152" s="255" t="s">
        <v>1199</v>
      </c>
      <c r="H152" s="254" t="s">
        <v>1198</v>
      </c>
      <c r="I152" s="255" t="s">
        <v>1199</v>
      </c>
      <c r="K152" s="256"/>
      <c r="L152" s="256"/>
    </row>
    <row r="153" spans="2:12" ht="13.5" thickBot="1" x14ac:dyDescent="0.25">
      <c r="B153" s="254" t="s">
        <v>1207</v>
      </c>
      <c r="C153" s="255" t="s">
        <v>1173</v>
      </c>
      <c r="E153" s="254" t="s">
        <v>1207</v>
      </c>
      <c r="F153" s="255" t="s">
        <v>1173</v>
      </c>
      <c r="H153" s="254" t="s">
        <v>1207</v>
      </c>
      <c r="I153" s="255" t="s">
        <v>1173</v>
      </c>
      <c r="K153" s="256"/>
      <c r="L153" s="256"/>
    </row>
    <row r="154" spans="2:12" ht="13.5" thickBot="1" x14ac:dyDescent="0.25">
      <c r="K154" s="256"/>
      <c r="L154" s="256"/>
    </row>
    <row r="155" spans="2:12" x14ac:dyDescent="0.2">
      <c r="B155" s="257" t="s">
        <v>1197</v>
      </c>
      <c r="E155" s="257" t="s">
        <v>1197</v>
      </c>
      <c r="H155" s="257" t="s">
        <v>1197</v>
      </c>
      <c r="K155" s="256"/>
      <c r="L155" s="256"/>
    </row>
    <row r="156" spans="2:12" ht="13.5" thickBot="1" x14ac:dyDescent="0.25">
      <c r="B156" s="258">
        <v>235</v>
      </c>
      <c r="E156" s="258">
        <v>412</v>
      </c>
      <c r="H156" s="258">
        <v>149</v>
      </c>
    </row>
    <row r="159" spans="2:12" ht="13.5" thickBot="1" x14ac:dyDescent="0.25">
      <c r="B159" s="252" t="s">
        <v>1220</v>
      </c>
      <c r="E159" s="252" t="s">
        <v>1221</v>
      </c>
      <c r="H159" s="252" t="s">
        <v>1222</v>
      </c>
      <c r="K159" s="261"/>
      <c r="L159" s="256"/>
    </row>
    <row r="160" spans="2:12" ht="13.5" thickBot="1" x14ac:dyDescent="0.25">
      <c r="B160" s="254" t="s">
        <v>1196</v>
      </c>
      <c r="C160" s="255" t="s">
        <v>1099</v>
      </c>
      <c r="E160" s="254" t="s">
        <v>1196</v>
      </c>
      <c r="F160" s="255" t="s">
        <v>1101</v>
      </c>
      <c r="H160" s="254" t="s">
        <v>1196</v>
      </c>
      <c r="I160" s="255" t="s">
        <v>1100</v>
      </c>
      <c r="K160" s="256"/>
      <c r="L160" s="256"/>
    </row>
    <row r="161" spans="2:12" ht="13.5" thickBot="1" x14ac:dyDescent="0.25">
      <c r="B161" s="254" t="s">
        <v>1198</v>
      </c>
      <c r="C161" s="255" t="s">
        <v>1199</v>
      </c>
      <c r="E161" s="254" t="s">
        <v>1198</v>
      </c>
      <c r="F161" s="255" t="s">
        <v>1199</v>
      </c>
      <c r="H161" s="254" t="s">
        <v>1198</v>
      </c>
      <c r="I161" s="255" t="s">
        <v>1199</v>
      </c>
      <c r="K161" s="256"/>
      <c r="L161" s="256"/>
    </row>
    <row r="162" spans="2:12" ht="13.5" thickBot="1" x14ac:dyDescent="0.25">
      <c r="B162" s="254" t="s">
        <v>1207</v>
      </c>
      <c r="C162" s="255" t="s">
        <v>1173</v>
      </c>
      <c r="E162" s="254" t="s">
        <v>1207</v>
      </c>
      <c r="F162" s="255" t="s">
        <v>1173</v>
      </c>
      <c r="H162" s="254" t="s">
        <v>1207</v>
      </c>
      <c r="I162" s="255" t="s">
        <v>1173</v>
      </c>
      <c r="K162" s="256"/>
      <c r="L162" s="256"/>
    </row>
    <row r="163" spans="2:12" ht="13.5" thickBot="1" x14ac:dyDescent="0.25">
      <c r="K163" s="256"/>
      <c r="L163" s="256"/>
    </row>
    <row r="164" spans="2:12" x14ac:dyDescent="0.2">
      <c r="B164" s="257" t="s">
        <v>1208</v>
      </c>
      <c r="E164" s="257" t="s">
        <v>1208</v>
      </c>
      <c r="H164" s="257" t="s">
        <v>1208</v>
      </c>
      <c r="K164" s="256"/>
      <c r="L164" s="256"/>
    </row>
    <row r="165" spans="2:12" ht="13.5" thickBot="1" x14ac:dyDescent="0.25">
      <c r="B165" s="258">
        <v>248</v>
      </c>
      <c r="E165" s="258">
        <v>450</v>
      </c>
      <c r="H165" s="258">
        <v>186</v>
      </c>
      <c r="K165" s="256"/>
      <c r="L165" s="256"/>
    </row>
    <row r="168" spans="2:12" ht="13.5" thickBot="1" x14ac:dyDescent="0.25">
      <c r="B168" s="252" t="s">
        <v>1223</v>
      </c>
      <c r="E168" s="252" t="s">
        <v>1224</v>
      </c>
      <c r="H168" s="252" t="s">
        <v>1225</v>
      </c>
      <c r="K168" s="252" t="s">
        <v>1290</v>
      </c>
    </row>
    <row r="169" spans="2:12" ht="13.5" thickBot="1" x14ac:dyDescent="0.25">
      <c r="B169" s="254" t="s">
        <v>1196</v>
      </c>
      <c r="C169" s="255" t="s">
        <v>1099</v>
      </c>
      <c r="E169" s="254" t="s">
        <v>1196</v>
      </c>
      <c r="F169" s="255" t="s">
        <v>1101</v>
      </c>
      <c r="H169" s="254" t="s">
        <v>1196</v>
      </c>
      <c r="I169" s="255" t="s">
        <v>1100</v>
      </c>
      <c r="K169" s="254" t="s">
        <v>1196</v>
      </c>
      <c r="L169" s="255" t="s">
        <v>1101</v>
      </c>
    </row>
    <row r="170" spans="2:12" ht="13.5" thickBot="1" x14ac:dyDescent="0.25">
      <c r="B170" s="254" t="s">
        <v>1198</v>
      </c>
      <c r="C170" s="255" t="s">
        <v>1199</v>
      </c>
      <c r="E170" s="254" t="s">
        <v>1198</v>
      </c>
      <c r="F170" s="255" t="s">
        <v>1199</v>
      </c>
      <c r="H170" s="254" t="s">
        <v>1198</v>
      </c>
      <c r="I170" s="255" t="s">
        <v>1199</v>
      </c>
      <c r="K170" s="254" t="s">
        <v>1198</v>
      </c>
      <c r="L170" s="255" t="s">
        <v>1199</v>
      </c>
    </row>
    <row r="171" spans="2:12" ht="13.5" thickBot="1" x14ac:dyDescent="0.25">
      <c r="B171" s="254" t="s">
        <v>1207</v>
      </c>
      <c r="C171" s="255" t="s">
        <v>1174</v>
      </c>
      <c r="E171" s="254" t="s">
        <v>1207</v>
      </c>
      <c r="F171" s="255" t="s">
        <v>1174</v>
      </c>
      <c r="H171" s="254" t="s">
        <v>1207</v>
      </c>
      <c r="I171" s="255" t="s">
        <v>1174</v>
      </c>
      <c r="K171" s="254" t="s">
        <v>1207</v>
      </c>
      <c r="L171" s="255" t="s">
        <v>1235</v>
      </c>
    </row>
    <row r="172" spans="2:12" ht="13.5" thickBot="1" x14ac:dyDescent="0.25"/>
    <row r="173" spans="2:12" x14ac:dyDescent="0.2">
      <c r="B173" s="257" t="s">
        <v>1197</v>
      </c>
      <c r="E173" s="257" t="s">
        <v>1197</v>
      </c>
      <c r="H173" s="257" t="s">
        <v>1197</v>
      </c>
      <c r="K173" s="257" t="s">
        <v>1197</v>
      </c>
    </row>
    <row r="174" spans="2:12" ht="13.5" thickBot="1" x14ac:dyDescent="0.25">
      <c r="B174" s="258"/>
      <c r="E174" s="258">
        <v>32</v>
      </c>
      <c r="H174" s="258"/>
      <c r="K174" s="258">
        <v>-30</v>
      </c>
    </row>
    <row r="175" spans="2:12" x14ac:dyDescent="0.2">
      <c r="K175" s="256"/>
      <c r="L175" s="256"/>
    </row>
    <row r="176" spans="2:12" x14ac:dyDescent="0.2">
      <c r="K176" s="256"/>
      <c r="L176" s="256"/>
    </row>
    <row r="177" spans="2:12" ht="13.5" thickBot="1" x14ac:dyDescent="0.25">
      <c r="B177" s="252" t="s">
        <v>1226</v>
      </c>
      <c r="E177" s="252" t="s">
        <v>1227</v>
      </c>
      <c r="H177" s="252" t="s">
        <v>1228</v>
      </c>
      <c r="K177" s="261"/>
      <c r="L177" s="256"/>
    </row>
    <row r="178" spans="2:12" ht="13.5" thickBot="1" x14ac:dyDescent="0.25">
      <c r="B178" s="254" t="s">
        <v>1196</v>
      </c>
      <c r="C178" s="255" t="s">
        <v>1099</v>
      </c>
      <c r="E178" s="254" t="s">
        <v>1196</v>
      </c>
      <c r="F178" s="255" t="s">
        <v>1101</v>
      </c>
      <c r="H178" s="254" t="s">
        <v>1196</v>
      </c>
      <c r="I178" s="255" t="s">
        <v>1100</v>
      </c>
      <c r="K178" s="256"/>
      <c r="L178" s="256"/>
    </row>
    <row r="179" spans="2:12" ht="13.5" thickBot="1" x14ac:dyDescent="0.25">
      <c r="B179" s="254" t="s">
        <v>1198</v>
      </c>
      <c r="C179" s="255" t="s">
        <v>1199</v>
      </c>
      <c r="E179" s="254" t="s">
        <v>1198</v>
      </c>
      <c r="F179" s="255" t="s">
        <v>1199</v>
      </c>
      <c r="H179" s="254" t="s">
        <v>1198</v>
      </c>
      <c r="I179" s="255" t="s">
        <v>1199</v>
      </c>
      <c r="K179" s="256"/>
      <c r="L179" s="256"/>
    </row>
    <row r="180" spans="2:12" ht="13.5" thickBot="1" x14ac:dyDescent="0.25">
      <c r="B180" s="254" t="s">
        <v>1207</v>
      </c>
      <c r="C180" s="255" t="s">
        <v>1174</v>
      </c>
      <c r="E180" s="254" t="s">
        <v>1207</v>
      </c>
      <c r="F180" s="255" t="s">
        <v>1174</v>
      </c>
      <c r="H180" s="254" t="s">
        <v>1207</v>
      </c>
      <c r="I180" s="255" t="s">
        <v>1174</v>
      </c>
      <c r="K180" s="256"/>
      <c r="L180" s="256"/>
    </row>
    <row r="181" spans="2:12" ht="13.5" thickBot="1" x14ac:dyDescent="0.25">
      <c r="K181" s="256"/>
      <c r="L181" s="256"/>
    </row>
    <row r="182" spans="2:12" x14ac:dyDescent="0.2">
      <c r="B182" s="257" t="s">
        <v>1208</v>
      </c>
      <c r="E182" s="257" t="s">
        <v>1208</v>
      </c>
      <c r="H182" s="257" t="s">
        <v>1208</v>
      </c>
      <c r="K182" s="256"/>
      <c r="L182" s="256"/>
    </row>
    <row r="183" spans="2:12" ht="13.5" thickBot="1" x14ac:dyDescent="0.25">
      <c r="B183" s="258"/>
      <c r="E183" s="258">
        <v>32</v>
      </c>
      <c r="H183" s="258"/>
      <c r="K183" s="256"/>
      <c r="L183" s="256"/>
    </row>
    <row r="184" spans="2:12" x14ac:dyDescent="0.2">
      <c r="K184" s="256"/>
      <c r="L184" s="256"/>
    </row>
    <row r="185" spans="2:12" x14ac:dyDescent="0.2">
      <c r="K185" s="256"/>
      <c r="L185" s="256"/>
    </row>
    <row r="186" spans="2:12" x14ac:dyDescent="0.2">
      <c r="K186" s="256"/>
      <c r="L186" s="256"/>
    </row>
    <row r="187" spans="2:12" ht="13.5" thickBot="1" x14ac:dyDescent="0.25">
      <c r="B187" s="252" t="s">
        <v>1229</v>
      </c>
      <c r="E187" s="252" t="s">
        <v>1230</v>
      </c>
      <c r="H187" s="252" t="s">
        <v>1231</v>
      </c>
      <c r="K187" s="261"/>
      <c r="L187" s="256"/>
    </row>
    <row r="188" spans="2:12" ht="13.5" thickBot="1" x14ac:dyDescent="0.25">
      <c r="B188" s="254" t="s">
        <v>1196</v>
      </c>
      <c r="C188" s="255" t="s">
        <v>1099</v>
      </c>
      <c r="E188" s="254" t="s">
        <v>1196</v>
      </c>
      <c r="F188" s="255" t="s">
        <v>1101</v>
      </c>
      <c r="H188" s="254" t="s">
        <v>1196</v>
      </c>
      <c r="I188" s="255" t="s">
        <v>1100</v>
      </c>
      <c r="K188" s="256"/>
      <c r="L188" s="256"/>
    </row>
    <row r="189" spans="2:12" ht="13.5" thickBot="1" x14ac:dyDescent="0.25">
      <c r="B189" s="254" t="s">
        <v>1198</v>
      </c>
      <c r="C189" s="255" t="s">
        <v>1199</v>
      </c>
      <c r="E189" s="254" t="s">
        <v>1198</v>
      </c>
      <c r="F189" s="255" t="s">
        <v>1199</v>
      </c>
      <c r="H189" s="254" t="s">
        <v>1198</v>
      </c>
      <c r="I189" s="255" t="s">
        <v>1199</v>
      </c>
      <c r="K189" s="256"/>
      <c r="L189" s="256"/>
    </row>
    <row r="190" spans="2:12" ht="13.5" thickBot="1" x14ac:dyDescent="0.25">
      <c r="B190" s="254" t="s">
        <v>1207</v>
      </c>
      <c r="C190" s="255" t="s">
        <v>1215</v>
      </c>
      <c r="E190" s="254" t="s">
        <v>1207</v>
      </c>
      <c r="F190" s="255" t="s">
        <v>1199</v>
      </c>
      <c r="H190" s="254" t="s">
        <v>1207</v>
      </c>
      <c r="I190" s="255" t="s">
        <v>1215</v>
      </c>
      <c r="K190" s="256"/>
      <c r="L190" s="256"/>
    </row>
    <row r="191" spans="2:12" ht="13.5" thickBot="1" x14ac:dyDescent="0.25">
      <c r="K191" s="256"/>
      <c r="L191" s="256"/>
    </row>
    <row r="192" spans="2:12" x14ac:dyDescent="0.2">
      <c r="B192" s="257" t="s">
        <v>1197</v>
      </c>
      <c r="E192" s="257" t="s">
        <v>1197</v>
      </c>
      <c r="H192" s="257" t="s">
        <v>1197</v>
      </c>
      <c r="K192" s="256"/>
      <c r="L192" s="256"/>
    </row>
    <row r="193" spans="2:12" ht="13.5" thickBot="1" x14ac:dyDescent="0.25">
      <c r="B193" s="258">
        <v>34</v>
      </c>
      <c r="E193" s="258">
        <v>18</v>
      </c>
      <c r="H193" s="258">
        <v>7</v>
      </c>
      <c r="K193" s="256"/>
      <c r="L193" s="256"/>
    </row>
    <row r="194" spans="2:12" x14ac:dyDescent="0.2">
      <c r="K194" s="256"/>
      <c r="L194" s="256"/>
    </row>
    <row r="195" spans="2:12" x14ac:dyDescent="0.2">
      <c r="K195" s="256"/>
      <c r="L195" s="256"/>
    </row>
    <row r="196" spans="2:12" ht="13.5" thickBot="1" x14ac:dyDescent="0.25">
      <c r="B196" s="252" t="s">
        <v>1232</v>
      </c>
      <c r="E196" s="252" t="s">
        <v>1233</v>
      </c>
      <c r="H196" s="252" t="s">
        <v>1234</v>
      </c>
      <c r="K196" s="261"/>
      <c r="L196" s="256"/>
    </row>
    <row r="197" spans="2:12" ht="13.5" thickBot="1" x14ac:dyDescent="0.25">
      <c r="B197" s="254" t="s">
        <v>1196</v>
      </c>
      <c r="C197" s="255" t="s">
        <v>1099</v>
      </c>
      <c r="E197" s="254" t="s">
        <v>1196</v>
      </c>
      <c r="F197" s="255" t="s">
        <v>1101</v>
      </c>
      <c r="H197" s="254" t="s">
        <v>1196</v>
      </c>
      <c r="I197" s="255" t="s">
        <v>1100</v>
      </c>
      <c r="K197" s="256"/>
      <c r="L197" s="256"/>
    </row>
    <row r="198" spans="2:12" ht="13.5" thickBot="1" x14ac:dyDescent="0.25">
      <c r="B198" s="254" t="s">
        <v>1198</v>
      </c>
      <c r="C198" s="255" t="s">
        <v>1199</v>
      </c>
      <c r="E198" s="254" t="s">
        <v>1198</v>
      </c>
      <c r="F198" s="255" t="s">
        <v>1199</v>
      </c>
      <c r="H198" s="254" t="s">
        <v>1198</v>
      </c>
      <c r="I198" s="255" t="s">
        <v>1199</v>
      </c>
      <c r="K198" s="256"/>
      <c r="L198" s="256"/>
    </row>
    <row r="199" spans="2:12" ht="13.5" thickBot="1" x14ac:dyDescent="0.25">
      <c r="B199" s="254" t="s">
        <v>1207</v>
      </c>
      <c r="C199" s="255" t="s">
        <v>1215</v>
      </c>
      <c r="E199" s="254" t="s">
        <v>1207</v>
      </c>
      <c r="F199" s="255" t="s">
        <v>1215</v>
      </c>
      <c r="H199" s="254" t="s">
        <v>1207</v>
      </c>
      <c r="I199" s="255" t="s">
        <v>1215</v>
      </c>
      <c r="K199" s="256"/>
      <c r="L199" s="256"/>
    </row>
    <row r="200" spans="2:12" ht="13.5" thickBot="1" x14ac:dyDescent="0.25">
      <c r="K200" s="256"/>
      <c r="L200" s="256"/>
    </row>
    <row r="201" spans="2:12" x14ac:dyDescent="0.2">
      <c r="B201" s="257" t="s">
        <v>1208</v>
      </c>
      <c r="E201" s="257" t="s">
        <v>1208</v>
      </c>
      <c r="H201" s="257" t="s">
        <v>1208</v>
      </c>
      <c r="K201" s="256"/>
      <c r="L201" s="256"/>
    </row>
    <row r="202" spans="2:12" ht="13.5" thickBot="1" x14ac:dyDescent="0.25">
      <c r="B202" s="258">
        <v>34</v>
      </c>
      <c r="E202" s="258">
        <v>48</v>
      </c>
      <c r="H202" s="258">
        <v>7</v>
      </c>
      <c r="K202" s="256"/>
      <c r="L202" s="256"/>
    </row>
    <row r="207" spans="2:12" x14ac:dyDescent="0.2">
      <c r="B207" s="252" t="s">
        <v>1188</v>
      </c>
      <c r="E207" s="252"/>
    </row>
    <row r="208" spans="2:12" ht="13.5" thickBot="1" x14ac:dyDescent="0.25">
      <c r="B208" s="252" t="s">
        <v>1204</v>
      </c>
      <c r="E208" s="252" t="s">
        <v>1205</v>
      </c>
      <c r="H208" s="252" t="s">
        <v>1206</v>
      </c>
    </row>
    <row r="209" spans="2:9" ht="13.5" thickBot="1" x14ac:dyDescent="0.25">
      <c r="B209" s="254" t="s">
        <v>1196</v>
      </c>
      <c r="C209" s="255" t="s">
        <v>1099</v>
      </c>
      <c r="E209" s="254" t="s">
        <v>1196</v>
      </c>
      <c r="F209" s="255" t="s">
        <v>1101</v>
      </c>
      <c r="H209" s="254" t="s">
        <v>1196</v>
      </c>
      <c r="I209" s="255" t="s">
        <v>1100</v>
      </c>
    </row>
    <row r="210" spans="2:9" ht="13.5" thickBot="1" x14ac:dyDescent="0.25">
      <c r="B210" s="254" t="s">
        <v>1198</v>
      </c>
      <c r="C210" s="255" t="s">
        <v>1199</v>
      </c>
      <c r="E210" s="254" t="s">
        <v>1198</v>
      </c>
      <c r="F210" s="255" t="s">
        <v>1199</v>
      </c>
      <c r="H210" s="254" t="s">
        <v>1198</v>
      </c>
      <c r="I210" s="255" t="s">
        <v>1199</v>
      </c>
    </row>
    <row r="211" spans="2:9" ht="13.5" thickBot="1" x14ac:dyDescent="0.25">
      <c r="B211" s="254" t="s">
        <v>1207</v>
      </c>
      <c r="C211" s="255" t="s">
        <v>1202</v>
      </c>
      <c r="E211" s="254" t="s">
        <v>1207</v>
      </c>
      <c r="F211" s="255" t="s">
        <v>1202</v>
      </c>
      <c r="H211" s="254" t="s">
        <v>1207</v>
      </c>
      <c r="I211" s="255" t="s">
        <v>1202</v>
      </c>
    </row>
    <row r="212" spans="2:9" ht="13.5" thickBot="1" x14ac:dyDescent="0.25"/>
    <row r="213" spans="2:9" x14ac:dyDescent="0.2">
      <c r="B213" s="257" t="s">
        <v>1197</v>
      </c>
      <c r="E213" s="257" t="s">
        <v>1197</v>
      </c>
      <c r="H213" s="257" t="s">
        <v>1197</v>
      </c>
    </row>
    <row r="214" spans="2:9" ht="13.5" thickBot="1" x14ac:dyDescent="0.25">
      <c r="B214" s="258">
        <v>269</v>
      </c>
      <c r="E214" s="258">
        <v>462</v>
      </c>
      <c r="H214" s="258">
        <v>156</v>
      </c>
    </row>
    <row r="217" spans="2:9" ht="13.5" thickBot="1" x14ac:dyDescent="0.25">
      <c r="B217" s="252" t="s">
        <v>1209</v>
      </c>
      <c r="E217" s="252" t="s">
        <v>1210</v>
      </c>
      <c r="H217" s="252" t="s">
        <v>1211</v>
      </c>
    </row>
    <row r="218" spans="2:9" ht="13.5" thickBot="1" x14ac:dyDescent="0.25">
      <c r="B218" s="254" t="s">
        <v>1196</v>
      </c>
      <c r="C218" s="255" t="s">
        <v>1099</v>
      </c>
      <c r="E218" s="254" t="s">
        <v>1196</v>
      </c>
      <c r="F218" s="255" t="s">
        <v>1101</v>
      </c>
      <c r="H218" s="254" t="s">
        <v>1196</v>
      </c>
      <c r="I218" s="255" t="s">
        <v>1100</v>
      </c>
    </row>
    <row r="219" spans="2:9" ht="13.5" thickBot="1" x14ac:dyDescent="0.25">
      <c r="B219" s="254" t="s">
        <v>1198</v>
      </c>
      <c r="C219" s="255" t="s">
        <v>1199</v>
      </c>
      <c r="E219" s="254" t="s">
        <v>1198</v>
      </c>
      <c r="F219" s="255" t="s">
        <v>1199</v>
      </c>
      <c r="H219" s="254" t="s">
        <v>1198</v>
      </c>
      <c r="I219" s="255" t="s">
        <v>1199</v>
      </c>
    </row>
    <row r="220" spans="2:9" ht="13.5" thickBot="1" x14ac:dyDescent="0.25">
      <c r="B220" s="254" t="s">
        <v>1207</v>
      </c>
      <c r="C220" s="255" t="s">
        <v>1202</v>
      </c>
      <c r="E220" s="254" t="s">
        <v>1207</v>
      </c>
      <c r="F220" s="255" t="s">
        <v>1202</v>
      </c>
      <c r="H220" s="254" t="s">
        <v>1207</v>
      </c>
      <c r="I220" s="255" t="s">
        <v>1202</v>
      </c>
    </row>
    <row r="221" spans="2:9" ht="13.5" thickBot="1" x14ac:dyDescent="0.25"/>
    <row r="222" spans="2:9" x14ac:dyDescent="0.2">
      <c r="B222" s="257" t="s">
        <v>1197</v>
      </c>
      <c r="E222" s="257" t="s">
        <v>1197</v>
      </c>
      <c r="H222" s="257" t="s">
        <v>1197</v>
      </c>
    </row>
    <row r="223" spans="2:9" ht="13.5" thickBot="1" x14ac:dyDescent="0.25">
      <c r="B223" s="258">
        <v>62</v>
      </c>
      <c r="E223" s="258">
        <v>90</v>
      </c>
      <c r="H223" s="258">
        <v>168</v>
      </c>
    </row>
    <row r="229" spans="2:12" x14ac:dyDescent="0.2">
      <c r="B229" s="262" t="s">
        <v>1361</v>
      </c>
      <c r="C229" s="263"/>
      <c r="D229" s="263"/>
      <c r="E229" s="262"/>
      <c r="F229" s="263"/>
      <c r="G229" s="263"/>
      <c r="H229" s="263"/>
      <c r="I229" s="263"/>
      <c r="J229" s="263"/>
    </row>
    <row r="230" spans="2:12" x14ac:dyDescent="0.2">
      <c r="B230" s="262" t="s">
        <v>1204</v>
      </c>
      <c r="C230" s="263"/>
      <c r="D230" s="263"/>
      <c r="E230" s="262"/>
      <c r="F230" s="263"/>
      <c r="G230" s="263"/>
      <c r="H230" s="262"/>
      <c r="I230" s="263"/>
      <c r="J230" s="263"/>
    </row>
    <row r="231" spans="2:12" x14ac:dyDescent="0.2">
      <c r="B231" s="263"/>
      <c r="C231" s="263"/>
      <c r="D231" s="263"/>
      <c r="E231" s="263"/>
      <c r="F231" s="263"/>
      <c r="G231" s="263"/>
      <c r="H231" s="263"/>
      <c r="I231" s="263"/>
      <c r="J231" s="263"/>
    </row>
    <row r="232" spans="2:12" ht="13.5" thickBot="1" x14ac:dyDescent="0.25">
      <c r="B232" s="263"/>
      <c r="C232" s="263"/>
      <c r="D232" s="263"/>
      <c r="E232" s="263"/>
      <c r="F232" s="263"/>
      <c r="G232" s="263"/>
      <c r="H232" s="263"/>
      <c r="I232" s="263"/>
      <c r="J232" s="263"/>
    </row>
    <row r="233" spans="2:12" ht="13.5" thickBot="1" x14ac:dyDescent="0.25">
      <c r="B233" s="254" t="s">
        <v>1196</v>
      </c>
      <c r="C233" s="255" t="s">
        <v>1099</v>
      </c>
      <c r="D233" s="263"/>
      <c r="E233" s="263"/>
      <c r="F233" s="263"/>
      <c r="G233" s="263"/>
      <c r="H233" s="263"/>
      <c r="I233" s="263"/>
      <c r="J233" s="263"/>
    </row>
    <row r="234" spans="2:12" ht="13.5" thickBot="1" x14ac:dyDescent="0.25">
      <c r="B234" s="263"/>
      <c r="C234" s="263"/>
      <c r="D234" s="263"/>
      <c r="E234" s="263"/>
      <c r="F234" s="263"/>
      <c r="G234" s="263"/>
      <c r="H234" s="263"/>
      <c r="I234" s="263"/>
      <c r="J234" s="263"/>
    </row>
    <row r="235" spans="2:12" x14ac:dyDescent="0.2">
      <c r="B235" s="264" t="s">
        <v>1380</v>
      </c>
      <c r="C235" s="265" t="s">
        <v>1381</v>
      </c>
      <c r="D235" s="265" t="s">
        <v>1382</v>
      </c>
      <c r="E235" s="265" t="s">
        <v>1383</v>
      </c>
      <c r="F235" s="265" t="s">
        <v>1384</v>
      </c>
      <c r="G235" s="265" t="s">
        <v>1385</v>
      </c>
      <c r="H235" s="265" t="s">
        <v>1386</v>
      </c>
      <c r="I235" s="266" t="s">
        <v>1387</v>
      </c>
      <c r="J235" s="263"/>
      <c r="K235" s="267"/>
      <c r="L235" s="267"/>
    </row>
    <row r="236" spans="2:12" x14ac:dyDescent="0.2">
      <c r="B236" s="268" t="s">
        <v>1203</v>
      </c>
      <c r="C236" s="259">
        <v>32</v>
      </c>
      <c r="D236" s="259">
        <v>11</v>
      </c>
      <c r="E236" s="259">
        <v>1</v>
      </c>
      <c r="F236" s="259">
        <v>2</v>
      </c>
      <c r="G236" s="259">
        <v>0</v>
      </c>
      <c r="H236" s="259">
        <v>0</v>
      </c>
      <c r="I236" s="269">
        <v>0</v>
      </c>
      <c r="J236" s="263"/>
    </row>
    <row r="237" spans="2:12" x14ac:dyDescent="0.2">
      <c r="B237" s="268" t="s">
        <v>1201</v>
      </c>
      <c r="C237" s="259">
        <v>65</v>
      </c>
      <c r="D237" s="259">
        <v>143</v>
      </c>
      <c r="E237" s="259">
        <v>60</v>
      </c>
      <c r="F237" s="259">
        <v>16</v>
      </c>
      <c r="G237" s="259">
        <v>0</v>
      </c>
      <c r="H237" s="259">
        <v>1</v>
      </c>
      <c r="I237" s="269">
        <v>0</v>
      </c>
      <c r="J237" s="263"/>
    </row>
    <row r="238" spans="2:12" ht="13.5" thickBot="1" x14ac:dyDescent="0.25">
      <c r="B238" s="270" t="s">
        <v>1102</v>
      </c>
      <c r="C238" s="271">
        <v>97</v>
      </c>
      <c r="D238" s="271">
        <v>154</v>
      </c>
      <c r="E238" s="271">
        <v>61</v>
      </c>
      <c r="F238" s="271">
        <v>18</v>
      </c>
      <c r="G238" s="271">
        <v>0</v>
      </c>
      <c r="H238" s="271">
        <v>1</v>
      </c>
      <c r="I238" s="272">
        <v>0</v>
      </c>
      <c r="J238" s="263"/>
    </row>
    <row r="243" spans="2:9" ht="13.5" thickBot="1" x14ac:dyDescent="0.25">
      <c r="B243" s="262" t="s">
        <v>1390</v>
      </c>
      <c r="C243" s="263"/>
    </row>
    <row r="244" spans="2:9" ht="13.5" thickBot="1" x14ac:dyDescent="0.25">
      <c r="B244" s="254" t="s">
        <v>1196</v>
      </c>
      <c r="C244" s="255" t="s">
        <v>1099</v>
      </c>
      <c r="E244" s="262" t="s">
        <v>1388</v>
      </c>
      <c r="F244" s="263"/>
    </row>
    <row r="245" spans="2:9" ht="13.5" thickBot="1" x14ac:dyDescent="0.25">
      <c r="B245" s="263"/>
      <c r="C245" s="263"/>
      <c r="E245" s="254" t="s">
        <v>1196</v>
      </c>
      <c r="F245" s="255" t="s">
        <v>1099</v>
      </c>
      <c r="H245" s="254" t="s">
        <v>1196</v>
      </c>
      <c r="I245" s="255" t="s">
        <v>1099</v>
      </c>
    </row>
    <row r="246" spans="2:9" ht="13.5" thickBot="1" x14ac:dyDescent="0.25">
      <c r="B246" s="264" t="s">
        <v>1380</v>
      </c>
      <c r="C246" s="266" t="s">
        <v>1197</v>
      </c>
      <c r="E246" s="263"/>
      <c r="F246" s="263"/>
      <c r="H246" s="263"/>
      <c r="I246" s="263"/>
    </row>
    <row r="247" spans="2:9" x14ac:dyDescent="0.2">
      <c r="B247" s="268" t="s">
        <v>1402</v>
      </c>
      <c r="C247" s="269">
        <v>4</v>
      </c>
      <c r="E247" s="264" t="s">
        <v>1380</v>
      </c>
      <c r="F247" s="266" t="s">
        <v>1197</v>
      </c>
      <c r="H247" s="264" t="s">
        <v>1380</v>
      </c>
      <c r="I247" s="266" t="s">
        <v>1197</v>
      </c>
    </row>
    <row r="248" spans="2:9" x14ac:dyDescent="0.2">
      <c r="B248" s="268" t="s">
        <v>1403</v>
      </c>
      <c r="C248" s="269">
        <v>1</v>
      </c>
      <c r="E248" s="268" t="s">
        <v>1201</v>
      </c>
      <c r="F248" s="269">
        <v>269</v>
      </c>
      <c r="H248" s="268" t="s">
        <v>1404</v>
      </c>
      <c r="I248" s="269">
        <v>155</v>
      </c>
    </row>
    <row r="249" spans="2:9" x14ac:dyDescent="0.2">
      <c r="B249" s="268" t="s">
        <v>1405</v>
      </c>
      <c r="C249" s="269">
        <v>7</v>
      </c>
      <c r="E249" s="268" t="s">
        <v>1545</v>
      </c>
      <c r="F249" s="269">
        <v>62</v>
      </c>
      <c r="H249" s="268" t="s">
        <v>1201</v>
      </c>
      <c r="I249" s="269">
        <v>176</v>
      </c>
    </row>
    <row r="250" spans="2:9" ht="13.5" thickBot="1" x14ac:dyDescent="0.25">
      <c r="B250" s="268" t="s">
        <v>1406</v>
      </c>
      <c r="C250" s="269">
        <v>27</v>
      </c>
      <c r="E250" s="270" t="s">
        <v>1102</v>
      </c>
      <c r="F250" s="272">
        <v>331</v>
      </c>
      <c r="H250" s="270" t="s">
        <v>1102</v>
      </c>
      <c r="I250" s="272">
        <v>331</v>
      </c>
    </row>
    <row r="251" spans="2:9" x14ac:dyDescent="0.2">
      <c r="B251" s="268" t="s">
        <v>1428</v>
      </c>
      <c r="C251" s="269">
        <v>5</v>
      </c>
      <c r="H251" s="263"/>
      <c r="I251" s="263"/>
    </row>
    <row r="252" spans="2:9" ht="13.5" thickBot="1" x14ac:dyDescent="0.25">
      <c r="B252" s="270" t="s">
        <v>1102</v>
      </c>
      <c r="C252" s="272">
        <v>44</v>
      </c>
      <c r="H252" s="263"/>
      <c r="I252" s="263"/>
    </row>
    <row r="253" spans="2:9" ht="13.5" thickBot="1" x14ac:dyDescent="0.25">
      <c r="B253" s="263"/>
      <c r="C253" s="263"/>
      <c r="E253" s="254" t="s">
        <v>1196</v>
      </c>
      <c r="F253" s="255" t="s">
        <v>1099</v>
      </c>
      <c r="H253" s="254" t="s">
        <v>1196</v>
      </c>
      <c r="I253" s="255" t="s">
        <v>1099</v>
      </c>
    </row>
    <row r="254" spans="2:9" ht="13.5" thickBot="1" x14ac:dyDescent="0.25">
      <c r="E254" s="263"/>
      <c r="F254" s="263"/>
      <c r="H254" s="263"/>
      <c r="I254" s="263"/>
    </row>
    <row r="255" spans="2:9" ht="13.5" thickBot="1" x14ac:dyDescent="0.25">
      <c r="B255" s="262" t="s">
        <v>1390</v>
      </c>
      <c r="C255" s="263"/>
      <c r="E255" s="264" t="s">
        <v>1380</v>
      </c>
      <c r="F255" s="266" t="s">
        <v>1197</v>
      </c>
      <c r="G255" s="267"/>
      <c r="H255" s="264" t="s">
        <v>1380</v>
      </c>
      <c r="I255" s="266" t="s">
        <v>1197</v>
      </c>
    </row>
    <row r="256" spans="2:9" ht="13.5" thickBot="1" x14ac:dyDescent="0.25">
      <c r="B256" s="254" t="s">
        <v>1196</v>
      </c>
      <c r="C256" s="255" t="s">
        <v>1099</v>
      </c>
      <c r="E256" s="268" t="s">
        <v>1551</v>
      </c>
      <c r="F256" s="269">
        <v>54</v>
      </c>
      <c r="H256" s="268" t="s">
        <v>1410</v>
      </c>
      <c r="I256" s="269">
        <v>3</v>
      </c>
    </row>
    <row r="257" spans="2:12" ht="13.5" thickBot="1" x14ac:dyDescent="0.25">
      <c r="B257" s="263"/>
      <c r="C257" s="263"/>
      <c r="E257" s="268" t="s">
        <v>1201</v>
      </c>
      <c r="F257" s="269">
        <v>277</v>
      </c>
      <c r="H257" s="268" t="s">
        <v>1201</v>
      </c>
      <c r="I257" s="269">
        <v>328</v>
      </c>
    </row>
    <row r="258" spans="2:12" ht="13.5" thickBot="1" x14ac:dyDescent="0.25">
      <c r="B258" s="264" t="s">
        <v>1380</v>
      </c>
      <c r="C258" s="266" t="s">
        <v>1197</v>
      </c>
      <c r="E258" s="270" t="s">
        <v>1102</v>
      </c>
      <c r="F258" s="272">
        <v>331</v>
      </c>
      <c r="H258" s="270" t="s">
        <v>1102</v>
      </c>
      <c r="I258" s="272">
        <v>331</v>
      </c>
    </row>
    <row r="259" spans="2:12" x14ac:dyDescent="0.2">
      <c r="B259" s="268" t="s">
        <v>121</v>
      </c>
      <c r="C259" s="269">
        <v>233</v>
      </c>
    </row>
    <row r="260" spans="2:12" x14ac:dyDescent="0.2">
      <c r="B260" s="268" t="s">
        <v>1201</v>
      </c>
      <c r="C260" s="269">
        <v>98</v>
      </c>
      <c r="K260" s="263"/>
      <c r="L260" s="263"/>
    </row>
    <row r="261" spans="2:12" ht="13.5" thickBot="1" x14ac:dyDescent="0.25">
      <c r="B261" s="270" t="s">
        <v>1102</v>
      </c>
      <c r="C261" s="272">
        <v>331</v>
      </c>
      <c r="K261" s="263"/>
      <c r="L261" s="263"/>
    </row>
    <row r="262" spans="2:12" x14ac:dyDescent="0.2">
      <c r="K262" s="263"/>
      <c r="L262" s="263"/>
    </row>
    <row r="263" spans="2:12" x14ac:dyDescent="0.2">
      <c r="K263" s="263"/>
      <c r="L263" s="263"/>
    </row>
    <row r="264" spans="2:12" x14ac:dyDescent="0.2">
      <c r="K264" s="263"/>
      <c r="L264" s="263"/>
    </row>
    <row r="265" spans="2:12" x14ac:dyDescent="0.2">
      <c r="K265" s="263"/>
      <c r="L265" s="263"/>
    </row>
    <row r="266" spans="2:12" x14ac:dyDescent="0.2">
      <c r="B266" s="262"/>
      <c r="C266" s="263"/>
      <c r="D266" s="263"/>
      <c r="E266" s="262"/>
      <c r="F266" s="263"/>
      <c r="G266" s="263"/>
      <c r="H266" s="262"/>
      <c r="I266" s="263"/>
      <c r="K266" s="263"/>
      <c r="L266" s="263"/>
    </row>
    <row r="267" spans="2:12" ht="13.5" thickBot="1" x14ac:dyDescent="0.25">
      <c r="B267" s="262"/>
      <c r="C267" s="263"/>
      <c r="D267" s="263"/>
      <c r="E267" s="262"/>
      <c r="F267" s="263"/>
      <c r="G267" s="263"/>
      <c r="H267" s="262"/>
      <c r="I267" s="263"/>
      <c r="K267" s="263"/>
      <c r="L267" s="263"/>
    </row>
    <row r="268" spans="2:12" ht="13.5" thickBot="1" x14ac:dyDescent="0.25">
      <c r="B268" s="254" t="s">
        <v>1196</v>
      </c>
      <c r="C268" s="255" t="s">
        <v>1100</v>
      </c>
      <c r="D268" s="263"/>
      <c r="E268" s="254" t="s">
        <v>1196</v>
      </c>
      <c r="F268" s="255" t="s">
        <v>1101</v>
      </c>
      <c r="G268" s="263"/>
      <c r="H268" s="254" t="s">
        <v>1196</v>
      </c>
      <c r="I268" s="255" t="s">
        <v>1099</v>
      </c>
      <c r="K268" s="263"/>
      <c r="L268" s="263"/>
    </row>
    <row r="269" spans="2:12" ht="13.5" thickBot="1" x14ac:dyDescent="0.25">
      <c r="B269" s="263"/>
      <c r="C269" s="263"/>
      <c r="D269" s="263"/>
      <c r="E269" s="263"/>
      <c r="F269" s="263"/>
      <c r="G269" s="263"/>
      <c r="H269" s="263"/>
      <c r="I269" s="263"/>
      <c r="K269" s="263"/>
      <c r="L269" s="263"/>
    </row>
    <row r="270" spans="2:12" x14ac:dyDescent="0.2">
      <c r="B270" s="264" t="s">
        <v>1380</v>
      </c>
      <c r="C270" s="266" t="s">
        <v>1197</v>
      </c>
      <c r="D270" s="273"/>
      <c r="E270" s="264" t="s">
        <v>1380</v>
      </c>
      <c r="F270" s="266" t="s">
        <v>1197</v>
      </c>
      <c r="G270" s="273"/>
      <c r="H270" s="264" t="s">
        <v>1380</v>
      </c>
      <c r="I270" s="266" t="s">
        <v>1197</v>
      </c>
      <c r="K270" s="263"/>
      <c r="L270" s="263"/>
    </row>
    <row r="271" spans="2:12" x14ac:dyDescent="0.2">
      <c r="B271" s="268" t="s">
        <v>1414</v>
      </c>
      <c r="C271" s="269">
        <v>5</v>
      </c>
      <c r="D271" s="263"/>
      <c r="E271" s="268" t="s">
        <v>1414</v>
      </c>
      <c r="F271" s="269">
        <v>2</v>
      </c>
      <c r="G271" s="263"/>
      <c r="H271" s="268" t="s">
        <v>1414</v>
      </c>
      <c r="I271" s="269">
        <v>4</v>
      </c>
      <c r="K271" s="263"/>
      <c r="L271" s="263"/>
    </row>
    <row r="272" spans="2:12" x14ac:dyDescent="0.2">
      <c r="B272" s="268" t="s">
        <v>1402</v>
      </c>
      <c r="C272" s="269">
        <v>24</v>
      </c>
      <c r="D272" s="263"/>
      <c r="E272" s="268" t="s">
        <v>1402</v>
      </c>
      <c r="F272" s="269">
        <v>7</v>
      </c>
      <c r="G272" s="263"/>
      <c r="H272" s="268" t="s">
        <v>1402</v>
      </c>
      <c r="I272" s="269">
        <v>4</v>
      </c>
      <c r="K272" s="263"/>
      <c r="L272" s="263"/>
    </row>
    <row r="273" spans="2:12" x14ac:dyDescent="0.2">
      <c r="B273" s="268" t="s">
        <v>1458</v>
      </c>
      <c r="C273" s="269">
        <v>62</v>
      </c>
      <c r="D273" s="263"/>
      <c r="E273" s="268" t="s">
        <v>1458</v>
      </c>
      <c r="F273" s="269">
        <v>9</v>
      </c>
      <c r="G273" s="263"/>
      <c r="H273" s="268" t="s">
        <v>1458</v>
      </c>
      <c r="I273" s="269">
        <v>30</v>
      </c>
      <c r="K273" s="263"/>
      <c r="L273" s="263"/>
    </row>
    <row r="274" spans="2:12" x14ac:dyDescent="0.2">
      <c r="B274" s="268" t="s">
        <v>1487</v>
      </c>
      <c r="C274" s="269">
        <v>0</v>
      </c>
      <c r="D274" s="263"/>
      <c r="E274" s="268" t="s">
        <v>1487</v>
      </c>
      <c r="F274" s="269">
        <v>18</v>
      </c>
      <c r="G274" s="263"/>
      <c r="H274" s="268" t="s">
        <v>1487</v>
      </c>
      <c r="I274" s="269">
        <v>33</v>
      </c>
      <c r="K274" s="263"/>
      <c r="L274" s="263"/>
    </row>
    <row r="275" spans="2:12" x14ac:dyDescent="0.2">
      <c r="B275" s="268" t="s">
        <v>1417</v>
      </c>
      <c r="C275" s="269">
        <v>43</v>
      </c>
      <c r="D275" s="263"/>
      <c r="E275" s="268" t="s">
        <v>1417</v>
      </c>
      <c r="F275" s="269">
        <v>13</v>
      </c>
      <c r="G275" s="263"/>
      <c r="H275" s="268" t="s">
        <v>1417</v>
      </c>
      <c r="I275" s="269">
        <v>5</v>
      </c>
      <c r="K275" s="263"/>
      <c r="L275" s="263"/>
    </row>
    <row r="276" spans="2:12" x14ac:dyDescent="0.2">
      <c r="B276" s="268" t="s">
        <v>1416</v>
      </c>
      <c r="C276" s="269">
        <v>5</v>
      </c>
      <c r="D276" s="263"/>
      <c r="E276" s="268" t="s">
        <v>1416</v>
      </c>
      <c r="F276" s="269">
        <v>2</v>
      </c>
      <c r="G276" s="263"/>
      <c r="H276" s="268" t="s">
        <v>1416</v>
      </c>
      <c r="I276" s="269">
        <v>-1</v>
      </c>
      <c r="K276" s="263"/>
      <c r="L276" s="263"/>
    </row>
    <row r="277" spans="2:12" x14ac:dyDescent="0.2">
      <c r="B277" s="268" t="s">
        <v>1418</v>
      </c>
      <c r="C277" s="269">
        <v>22</v>
      </c>
      <c r="D277" s="263"/>
      <c r="E277" s="268" t="s">
        <v>1418</v>
      </c>
      <c r="F277" s="269">
        <v>57</v>
      </c>
      <c r="G277" s="263"/>
      <c r="H277" s="268" t="s">
        <v>1418</v>
      </c>
      <c r="I277" s="269">
        <v>15</v>
      </c>
      <c r="K277" s="263"/>
      <c r="L277" s="263"/>
    </row>
    <row r="278" spans="2:12" x14ac:dyDescent="0.2">
      <c r="B278" s="268" t="s">
        <v>1419</v>
      </c>
      <c r="C278" s="269">
        <v>2</v>
      </c>
      <c r="D278" s="263"/>
      <c r="E278" s="268" t="s">
        <v>1419</v>
      </c>
      <c r="F278" s="269">
        <v>4</v>
      </c>
      <c r="G278" s="263"/>
      <c r="H278" s="268" t="s">
        <v>1419</v>
      </c>
      <c r="I278" s="269">
        <v>1</v>
      </c>
      <c r="K278" s="263"/>
      <c r="L278" s="263"/>
    </row>
    <row r="279" spans="2:12" x14ac:dyDescent="0.2">
      <c r="B279" s="268" t="s">
        <v>1420</v>
      </c>
      <c r="C279" s="269">
        <v>8</v>
      </c>
      <c r="D279" s="263"/>
      <c r="E279" s="268" t="s">
        <v>1420</v>
      </c>
      <c r="F279" s="269">
        <v>43</v>
      </c>
      <c r="G279" s="263"/>
      <c r="H279" s="268" t="s">
        <v>1420</v>
      </c>
      <c r="I279" s="269">
        <v>7</v>
      </c>
      <c r="K279" s="263"/>
      <c r="L279" s="263"/>
    </row>
    <row r="280" spans="2:12" x14ac:dyDescent="0.2">
      <c r="B280" s="268" t="s">
        <v>1459</v>
      </c>
      <c r="C280" s="269">
        <v>11</v>
      </c>
      <c r="D280" s="263"/>
      <c r="E280" s="268" t="s">
        <v>1459</v>
      </c>
      <c r="F280" s="269">
        <v>5</v>
      </c>
      <c r="G280" s="263"/>
      <c r="H280" s="268" t="s">
        <v>1459</v>
      </c>
      <c r="I280" s="269">
        <v>11</v>
      </c>
      <c r="K280" s="263"/>
      <c r="L280" s="263"/>
    </row>
    <row r="281" spans="2:12" x14ac:dyDescent="0.2">
      <c r="B281" s="268" t="s">
        <v>1422</v>
      </c>
      <c r="C281" s="269">
        <v>88</v>
      </c>
      <c r="D281" s="263"/>
      <c r="E281" s="268" t="s">
        <v>1422</v>
      </c>
      <c r="F281" s="269">
        <v>3</v>
      </c>
      <c r="G281" s="263"/>
      <c r="H281" s="268" t="s">
        <v>1422</v>
      </c>
      <c r="I281" s="269">
        <v>4</v>
      </c>
      <c r="K281" s="263"/>
      <c r="L281" s="263"/>
    </row>
    <row r="282" spans="2:12" x14ac:dyDescent="0.2">
      <c r="B282" s="268" t="s">
        <v>1423</v>
      </c>
      <c r="C282" s="269">
        <v>7</v>
      </c>
      <c r="D282" s="263"/>
      <c r="E282" s="268" t="s">
        <v>1423</v>
      </c>
      <c r="F282" s="269">
        <v>26</v>
      </c>
      <c r="G282" s="263"/>
      <c r="H282" s="268" t="s">
        <v>1423</v>
      </c>
      <c r="I282" s="269">
        <v>0</v>
      </c>
      <c r="K282" s="263"/>
      <c r="L282" s="263"/>
    </row>
    <row r="283" spans="2:12" x14ac:dyDescent="0.2">
      <c r="B283" s="268" t="s">
        <v>1424</v>
      </c>
      <c r="C283" s="269">
        <v>13</v>
      </c>
      <c r="D283" s="263"/>
      <c r="E283" s="268" t="s">
        <v>1424</v>
      </c>
      <c r="F283" s="269">
        <v>22</v>
      </c>
      <c r="G283" s="263"/>
      <c r="H283" s="268" t="s">
        <v>1424</v>
      </c>
      <c r="I283" s="269">
        <v>12</v>
      </c>
      <c r="K283" s="263"/>
      <c r="L283" s="263"/>
    </row>
    <row r="284" spans="2:12" x14ac:dyDescent="0.2">
      <c r="B284" s="268" t="s">
        <v>1488</v>
      </c>
      <c r="C284" s="269">
        <v>4</v>
      </c>
      <c r="D284" s="263"/>
      <c r="E284" s="268" t="s">
        <v>1488</v>
      </c>
      <c r="F284" s="269">
        <v>287</v>
      </c>
      <c r="G284" s="263"/>
      <c r="H284" s="268" t="s">
        <v>1488</v>
      </c>
      <c r="I284" s="269">
        <v>28</v>
      </c>
      <c r="K284" s="263"/>
      <c r="L284" s="263"/>
    </row>
    <row r="285" spans="2:12" x14ac:dyDescent="0.2">
      <c r="B285" s="268" t="s">
        <v>1405</v>
      </c>
      <c r="C285" s="269">
        <v>11</v>
      </c>
      <c r="D285" s="263"/>
      <c r="E285" s="268" t="s">
        <v>1405</v>
      </c>
      <c r="F285" s="269">
        <v>41</v>
      </c>
      <c r="G285" s="263"/>
      <c r="H285" s="268" t="s">
        <v>1405</v>
      </c>
      <c r="I285" s="269">
        <v>164</v>
      </c>
      <c r="K285" s="263"/>
      <c r="L285" s="263"/>
    </row>
    <row r="286" spans="2:12" x14ac:dyDescent="0.2">
      <c r="B286" s="268" t="s">
        <v>1426</v>
      </c>
      <c r="C286" s="269">
        <v>12</v>
      </c>
      <c r="D286" s="263"/>
      <c r="E286" s="268" t="s">
        <v>1426</v>
      </c>
      <c r="F286" s="269">
        <v>10</v>
      </c>
      <c r="G286" s="263"/>
      <c r="H286" s="268" t="s">
        <v>1426</v>
      </c>
      <c r="I286" s="269">
        <v>7</v>
      </c>
    </row>
    <row r="287" spans="2:12" x14ac:dyDescent="0.2">
      <c r="B287" s="268" t="s">
        <v>1427</v>
      </c>
      <c r="C287" s="269">
        <v>5</v>
      </c>
      <c r="D287" s="263"/>
      <c r="E287" s="268" t="s">
        <v>1427</v>
      </c>
      <c r="F287" s="269">
        <v>6</v>
      </c>
      <c r="G287" s="263"/>
      <c r="H287" s="268" t="s">
        <v>1427</v>
      </c>
      <c r="I287" s="269">
        <v>2</v>
      </c>
    </row>
    <row r="288" spans="2:12" x14ac:dyDescent="0.2">
      <c r="B288" s="268" t="s">
        <v>1428</v>
      </c>
      <c r="C288" s="269">
        <v>2</v>
      </c>
      <c r="D288" s="263"/>
      <c r="E288" s="268" t="s">
        <v>1428</v>
      </c>
      <c r="F288" s="269">
        <v>-3</v>
      </c>
      <c r="G288" s="263"/>
      <c r="H288" s="268" t="s">
        <v>1428</v>
      </c>
      <c r="I288" s="269">
        <v>5</v>
      </c>
    </row>
    <row r="289" spans="2:9" ht="13.5" thickBot="1" x14ac:dyDescent="0.25">
      <c r="B289" s="270" t="s">
        <v>1102</v>
      </c>
      <c r="C289" s="272">
        <v>324</v>
      </c>
      <c r="D289" s="263"/>
      <c r="E289" s="270" t="s">
        <v>1102</v>
      </c>
      <c r="F289" s="272">
        <v>552</v>
      </c>
      <c r="G289" s="263"/>
      <c r="H289" s="270" t="s">
        <v>1102</v>
      </c>
      <c r="I289" s="272">
        <v>331</v>
      </c>
    </row>
    <row r="290" spans="2:9" x14ac:dyDescent="0.2">
      <c r="B290" s="263"/>
      <c r="C290" s="263"/>
      <c r="H290" s="263"/>
      <c r="I290" s="263"/>
    </row>
    <row r="291" spans="2:9" x14ac:dyDescent="0.2">
      <c r="H291" s="263"/>
      <c r="I291" s="263"/>
    </row>
    <row r="294" spans="2:9" x14ac:dyDescent="0.2">
      <c r="B294" s="262"/>
      <c r="C294" s="263"/>
      <c r="D294" s="263"/>
      <c r="E294" s="263"/>
    </row>
    <row r="295" spans="2:9" ht="13.5" thickBot="1" x14ac:dyDescent="0.25">
      <c r="B295" s="262"/>
      <c r="C295" s="263"/>
      <c r="D295" s="263"/>
      <c r="E295" s="263"/>
    </row>
    <row r="296" spans="2:9" ht="13.5" thickBot="1" x14ac:dyDescent="0.25">
      <c r="B296" s="254" t="s">
        <v>1196</v>
      </c>
      <c r="C296" s="255" t="s">
        <v>1099</v>
      </c>
      <c r="D296" s="263"/>
      <c r="E296" s="263"/>
    </row>
    <row r="297" spans="2:9" ht="13.5" thickBot="1" x14ac:dyDescent="0.25">
      <c r="B297" s="263"/>
      <c r="C297" s="263"/>
      <c r="D297" s="263"/>
      <c r="E297" s="263"/>
    </row>
    <row r="298" spans="2:9" x14ac:dyDescent="0.2">
      <c r="B298" s="274" t="s">
        <v>1380</v>
      </c>
      <c r="C298" s="275" t="s">
        <v>1208</v>
      </c>
      <c r="D298" s="275" t="s">
        <v>1547</v>
      </c>
      <c r="E298" s="276" t="s">
        <v>1197</v>
      </c>
      <c r="F298" s="267"/>
      <c r="G298" s="267"/>
      <c r="H298" s="267"/>
      <c r="I298" s="267"/>
    </row>
    <row r="299" spans="2:9" x14ac:dyDescent="0.2">
      <c r="B299" s="268" t="s">
        <v>1414</v>
      </c>
      <c r="C299" s="259">
        <v>8</v>
      </c>
      <c r="D299" s="259">
        <v>4</v>
      </c>
      <c r="E299" s="269">
        <v>4</v>
      </c>
    </row>
    <row r="300" spans="2:9" x14ac:dyDescent="0.2">
      <c r="B300" s="268" t="s">
        <v>1402</v>
      </c>
      <c r="C300" s="259">
        <v>6</v>
      </c>
      <c r="D300" s="259">
        <v>2</v>
      </c>
      <c r="E300" s="269">
        <v>4</v>
      </c>
    </row>
    <row r="301" spans="2:9" x14ac:dyDescent="0.2">
      <c r="B301" s="268" t="s">
        <v>1458</v>
      </c>
      <c r="C301" s="259">
        <v>34</v>
      </c>
      <c r="D301" s="259">
        <v>4</v>
      </c>
      <c r="E301" s="269">
        <v>30</v>
      </c>
    </row>
    <row r="302" spans="2:9" x14ac:dyDescent="0.2">
      <c r="B302" s="268" t="s">
        <v>1487</v>
      </c>
      <c r="C302" s="259">
        <v>34</v>
      </c>
      <c r="D302" s="259">
        <v>1</v>
      </c>
      <c r="E302" s="269">
        <v>33</v>
      </c>
    </row>
    <row r="303" spans="2:9" x14ac:dyDescent="0.2">
      <c r="B303" s="268" t="s">
        <v>1417</v>
      </c>
      <c r="C303" s="259">
        <v>7</v>
      </c>
      <c r="D303" s="259">
        <v>2</v>
      </c>
      <c r="E303" s="269">
        <v>5</v>
      </c>
    </row>
    <row r="304" spans="2:9" x14ac:dyDescent="0.2">
      <c r="B304" s="268" t="s">
        <v>1416</v>
      </c>
      <c r="C304" s="259">
        <v>1</v>
      </c>
      <c r="D304" s="259">
        <v>2</v>
      </c>
      <c r="E304" s="269">
        <v>-1</v>
      </c>
    </row>
    <row r="305" spans="2:19" x14ac:dyDescent="0.2">
      <c r="B305" s="268" t="s">
        <v>1418</v>
      </c>
      <c r="C305" s="259">
        <v>17</v>
      </c>
      <c r="D305" s="259">
        <v>2</v>
      </c>
      <c r="E305" s="269">
        <v>15</v>
      </c>
    </row>
    <row r="306" spans="2:19" x14ac:dyDescent="0.2">
      <c r="B306" s="268" t="s">
        <v>1419</v>
      </c>
      <c r="C306" s="259">
        <v>4</v>
      </c>
      <c r="D306" s="259">
        <v>3</v>
      </c>
      <c r="E306" s="269">
        <v>1</v>
      </c>
    </row>
    <row r="307" spans="2:19" x14ac:dyDescent="0.2">
      <c r="B307" s="268" t="s">
        <v>1420</v>
      </c>
      <c r="C307" s="259">
        <v>9</v>
      </c>
      <c r="D307" s="259">
        <v>2</v>
      </c>
      <c r="E307" s="269">
        <v>7</v>
      </c>
    </row>
    <row r="308" spans="2:19" x14ac:dyDescent="0.2">
      <c r="B308" s="268" t="s">
        <v>1459</v>
      </c>
      <c r="C308" s="259">
        <v>11</v>
      </c>
      <c r="D308" s="259">
        <v>0</v>
      </c>
      <c r="E308" s="269">
        <v>11</v>
      </c>
    </row>
    <row r="309" spans="2:19" x14ac:dyDescent="0.2">
      <c r="B309" s="268" t="s">
        <v>1422</v>
      </c>
      <c r="C309" s="259">
        <v>5</v>
      </c>
      <c r="D309" s="259">
        <v>1</v>
      </c>
      <c r="E309" s="269">
        <v>4</v>
      </c>
    </row>
    <row r="310" spans="2:19" x14ac:dyDescent="0.2">
      <c r="B310" s="268" t="s">
        <v>1423</v>
      </c>
      <c r="C310" s="259">
        <v>7</v>
      </c>
      <c r="D310" s="259">
        <v>7</v>
      </c>
      <c r="E310" s="269">
        <v>0</v>
      </c>
    </row>
    <row r="311" spans="2:19" x14ac:dyDescent="0.2">
      <c r="B311" s="268" t="s">
        <v>1424</v>
      </c>
      <c r="C311" s="259">
        <v>14</v>
      </c>
      <c r="D311" s="259">
        <v>2</v>
      </c>
      <c r="E311" s="269">
        <v>12</v>
      </c>
    </row>
    <row r="312" spans="2:19" x14ac:dyDescent="0.2">
      <c r="B312" s="268" t="s">
        <v>1488</v>
      </c>
      <c r="C312" s="259">
        <v>34</v>
      </c>
      <c r="D312" s="259">
        <v>6</v>
      </c>
      <c r="E312" s="269">
        <v>28</v>
      </c>
    </row>
    <row r="313" spans="2:19" x14ac:dyDescent="0.2">
      <c r="B313" s="268" t="s">
        <v>1405</v>
      </c>
      <c r="C313" s="259">
        <v>169</v>
      </c>
      <c r="D313" s="259">
        <v>5</v>
      </c>
      <c r="E313" s="269">
        <v>164</v>
      </c>
    </row>
    <row r="314" spans="2:19" x14ac:dyDescent="0.2">
      <c r="B314" s="268" t="s">
        <v>1426</v>
      </c>
      <c r="C314" s="259">
        <v>11</v>
      </c>
      <c r="D314" s="259">
        <v>4</v>
      </c>
      <c r="E314" s="269">
        <v>7</v>
      </c>
    </row>
    <row r="315" spans="2:19" x14ac:dyDescent="0.2">
      <c r="B315" s="268" t="s">
        <v>1427</v>
      </c>
      <c r="C315" s="259">
        <v>5</v>
      </c>
      <c r="D315" s="259">
        <v>3</v>
      </c>
      <c r="E315" s="269">
        <v>2</v>
      </c>
    </row>
    <row r="316" spans="2:19" x14ac:dyDescent="0.2">
      <c r="B316" s="268" t="s">
        <v>1428</v>
      </c>
      <c r="C316" s="259">
        <v>6</v>
      </c>
      <c r="D316" s="259">
        <v>1</v>
      </c>
      <c r="E316" s="269">
        <v>5</v>
      </c>
    </row>
    <row r="317" spans="2:19" ht="13.5" thickBot="1" x14ac:dyDescent="0.25">
      <c r="B317" s="270" t="s">
        <v>1102</v>
      </c>
      <c r="C317" s="271">
        <v>382</v>
      </c>
      <c r="D317" s="271">
        <v>51</v>
      </c>
      <c r="E317" s="272">
        <v>331</v>
      </c>
    </row>
    <row r="320" spans="2:19" x14ac:dyDescent="0.2">
      <c r="C320" s="263"/>
      <c r="D320" s="263"/>
      <c r="E320" s="263"/>
      <c r="F320" s="263"/>
      <c r="G320" s="263"/>
      <c r="H320" s="263"/>
      <c r="I320" s="263"/>
      <c r="J320" s="263"/>
      <c r="K320" s="263"/>
      <c r="L320" s="263"/>
      <c r="M320" s="263"/>
      <c r="N320" s="263"/>
      <c r="O320" s="263"/>
      <c r="P320" s="263"/>
      <c r="Q320" s="263"/>
      <c r="R320" s="263"/>
      <c r="S320" s="263"/>
    </row>
    <row r="321" spans="2:19" ht="13.5" thickBot="1" x14ac:dyDescent="0.25">
      <c r="B321" s="262" t="s">
        <v>1204</v>
      </c>
      <c r="C321" s="263"/>
      <c r="D321" s="263"/>
      <c r="E321" s="263"/>
      <c r="F321" s="263"/>
      <c r="G321" s="263"/>
      <c r="H321" s="263"/>
      <c r="I321" s="263"/>
      <c r="J321" s="263"/>
      <c r="K321" s="263"/>
      <c r="L321" s="263"/>
      <c r="M321" s="263"/>
      <c r="N321" s="263"/>
      <c r="O321" s="263"/>
      <c r="P321" s="263"/>
      <c r="Q321" s="263"/>
      <c r="R321" s="263"/>
      <c r="S321" s="263"/>
    </row>
    <row r="322" spans="2:19" ht="13.5" thickBot="1" x14ac:dyDescent="0.25">
      <c r="B322" s="254" t="s">
        <v>1196</v>
      </c>
      <c r="C322" s="255" t="s">
        <v>1099</v>
      </c>
      <c r="D322" s="263"/>
      <c r="E322" s="263"/>
      <c r="F322" s="263"/>
      <c r="G322" s="263"/>
      <c r="H322" s="263"/>
      <c r="I322" s="263"/>
      <c r="J322" s="263"/>
      <c r="K322" s="263"/>
      <c r="L322" s="263"/>
      <c r="M322" s="263"/>
      <c r="N322" s="263"/>
      <c r="O322" s="263"/>
      <c r="P322" s="263"/>
      <c r="Q322" s="263"/>
      <c r="R322" s="263"/>
      <c r="S322" s="263"/>
    </row>
    <row r="323" spans="2:19" ht="13.5" thickBot="1" x14ac:dyDescent="0.25">
      <c r="B323" s="254" t="s">
        <v>1198</v>
      </c>
      <c r="C323" s="255" t="s">
        <v>1199</v>
      </c>
      <c r="D323" s="263"/>
      <c r="E323" s="263"/>
      <c r="F323" s="263"/>
      <c r="G323" s="263"/>
      <c r="H323" s="263"/>
      <c r="I323" s="263"/>
      <c r="J323" s="263"/>
      <c r="K323" s="263"/>
      <c r="L323" s="263"/>
      <c r="M323" s="263"/>
      <c r="N323" s="263"/>
      <c r="O323" s="263"/>
      <c r="P323" s="263"/>
      <c r="Q323" s="263"/>
      <c r="R323" s="263"/>
      <c r="S323" s="263"/>
    </row>
    <row r="324" spans="2:19" ht="13.5" thickBot="1" x14ac:dyDescent="0.25">
      <c r="B324" s="263"/>
      <c r="C324" s="263"/>
      <c r="D324" s="263"/>
      <c r="E324" s="263"/>
      <c r="F324" s="263"/>
      <c r="G324" s="263"/>
      <c r="H324" s="263"/>
      <c r="I324" s="263"/>
      <c r="J324" s="263"/>
      <c r="K324" s="263"/>
      <c r="L324" s="263"/>
      <c r="M324" s="263"/>
      <c r="N324" s="263"/>
      <c r="O324" s="263"/>
      <c r="P324" s="263"/>
      <c r="Q324" s="263"/>
      <c r="R324" s="263"/>
      <c r="S324" s="263"/>
    </row>
    <row r="325" spans="2:19" x14ac:dyDescent="0.2">
      <c r="B325" s="264" t="s">
        <v>1380</v>
      </c>
      <c r="C325" s="265" t="s">
        <v>1381</v>
      </c>
      <c r="D325" s="265" t="s">
        <v>1382</v>
      </c>
      <c r="E325" s="265" t="s">
        <v>1383</v>
      </c>
      <c r="F325" s="265" t="s">
        <v>1384</v>
      </c>
      <c r="G325" s="265" t="s">
        <v>1385</v>
      </c>
      <c r="H325" s="265" t="s">
        <v>1386</v>
      </c>
      <c r="I325" s="266" t="s">
        <v>1387</v>
      </c>
      <c r="J325" s="263"/>
      <c r="K325" s="273"/>
      <c r="L325" s="273"/>
      <c r="M325" s="273"/>
      <c r="N325" s="273"/>
      <c r="O325" s="273"/>
      <c r="P325" s="273"/>
      <c r="Q325" s="273"/>
      <c r="R325" s="273"/>
      <c r="S325" s="273"/>
    </row>
    <row r="326" spans="2:19" x14ac:dyDescent="0.2">
      <c r="B326" s="268" t="s">
        <v>1215</v>
      </c>
      <c r="C326" s="259">
        <v>9</v>
      </c>
      <c r="D326" s="259">
        <v>20</v>
      </c>
      <c r="E326" s="259">
        <v>5</v>
      </c>
      <c r="F326" s="259">
        <v>0</v>
      </c>
      <c r="G326" s="259">
        <v>0</v>
      </c>
      <c r="H326" s="259">
        <v>0</v>
      </c>
      <c r="I326" s="269">
        <v>0</v>
      </c>
      <c r="J326" s="263"/>
      <c r="K326" s="263"/>
      <c r="L326" s="263"/>
      <c r="M326" s="263"/>
      <c r="N326" s="263"/>
      <c r="O326" s="263"/>
      <c r="P326" s="263"/>
      <c r="Q326" s="263"/>
      <c r="R326" s="263"/>
      <c r="S326" s="263"/>
    </row>
    <row r="327" spans="2:19" x14ac:dyDescent="0.2">
      <c r="B327" s="268" t="s">
        <v>1173</v>
      </c>
      <c r="C327" s="259">
        <v>44</v>
      </c>
      <c r="D327" s="259">
        <v>114</v>
      </c>
      <c r="E327" s="259">
        <v>62</v>
      </c>
      <c r="F327" s="259">
        <v>13</v>
      </c>
      <c r="G327" s="259">
        <v>1</v>
      </c>
      <c r="H327" s="259">
        <v>1</v>
      </c>
      <c r="I327" s="269">
        <v>0</v>
      </c>
      <c r="J327" s="263"/>
      <c r="K327" s="263"/>
      <c r="L327" s="263"/>
      <c r="M327" s="263"/>
      <c r="N327" s="263"/>
      <c r="O327" s="263"/>
      <c r="P327" s="263"/>
      <c r="Q327" s="263"/>
      <c r="R327" s="263"/>
      <c r="S327" s="263"/>
    </row>
    <row r="328" spans="2:19" ht="13.5" thickBot="1" x14ac:dyDescent="0.25">
      <c r="B328" s="270" t="s">
        <v>1102</v>
      </c>
      <c r="C328" s="271">
        <v>53</v>
      </c>
      <c r="D328" s="271">
        <v>134</v>
      </c>
      <c r="E328" s="271">
        <v>67</v>
      </c>
      <c r="F328" s="271">
        <v>13</v>
      </c>
      <c r="G328" s="271">
        <v>1</v>
      </c>
      <c r="H328" s="271">
        <v>1</v>
      </c>
      <c r="I328" s="272">
        <v>0</v>
      </c>
      <c r="J328" s="263"/>
      <c r="K328" s="263"/>
      <c r="L328" s="263"/>
      <c r="M328" s="263"/>
      <c r="N328" s="263"/>
      <c r="O328" s="263"/>
      <c r="P328" s="263"/>
      <c r="Q328" s="263"/>
      <c r="R328" s="263"/>
      <c r="S328" s="263"/>
    </row>
    <row r="329" spans="2:19" x14ac:dyDescent="0.2">
      <c r="B329" s="263"/>
      <c r="C329" s="263"/>
      <c r="D329" s="263"/>
      <c r="E329" s="263"/>
      <c r="F329" s="263"/>
      <c r="G329" s="263"/>
      <c r="H329" s="263"/>
      <c r="I329" s="263"/>
      <c r="J329" s="263"/>
      <c r="K329" s="263"/>
      <c r="L329" s="263"/>
      <c r="M329" s="263"/>
      <c r="N329" s="263"/>
      <c r="O329" s="263"/>
      <c r="P329" s="263"/>
      <c r="Q329" s="263"/>
      <c r="R329" s="263"/>
      <c r="S329" s="263"/>
    </row>
    <row r="330" spans="2:19" x14ac:dyDescent="0.2">
      <c r="B330" s="263"/>
      <c r="C330" s="263"/>
      <c r="D330" s="263"/>
      <c r="E330" s="263"/>
      <c r="F330" s="263"/>
      <c r="G330" s="263"/>
      <c r="H330" s="263"/>
      <c r="I330" s="263"/>
      <c r="J330" s="263"/>
      <c r="K330" s="263"/>
      <c r="L330" s="263"/>
      <c r="M330" s="263"/>
      <c r="N330" s="263"/>
      <c r="O330" s="263"/>
      <c r="P330" s="263"/>
      <c r="Q330" s="263"/>
      <c r="R330" s="263"/>
      <c r="S330" s="263"/>
    </row>
    <row r="331" spans="2:19" x14ac:dyDescent="0.2">
      <c r="B331" s="263"/>
      <c r="C331" s="263"/>
      <c r="D331" s="263"/>
      <c r="E331" s="263"/>
      <c r="F331" s="263"/>
      <c r="G331" s="263"/>
      <c r="H331" s="263"/>
      <c r="I331" s="263"/>
      <c r="J331" s="263"/>
      <c r="K331" s="263"/>
      <c r="L331" s="263"/>
      <c r="M331" s="263"/>
      <c r="N331" s="263"/>
      <c r="O331" s="263"/>
      <c r="P331" s="263"/>
      <c r="Q331" s="263"/>
      <c r="R331" s="263"/>
      <c r="S331" s="263"/>
    </row>
    <row r="332" spans="2:19" ht="13.5" thickBot="1" x14ac:dyDescent="0.25">
      <c r="B332" s="263"/>
      <c r="C332" s="263"/>
      <c r="D332" s="263"/>
      <c r="E332" s="263"/>
      <c r="F332" s="263"/>
      <c r="G332" s="263"/>
      <c r="H332" s="263"/>
      <c r="I332" s="263"/>
      <c r="J332" s="263"/>
      <c r="K332" s="263"/>
      <c r="L332" s="263"/>
      <c r="M332" s="263"/>
      <c r="N332" s="263"/>
      <c r="O332" s="263"/>
      <c r="P332" s="263"/>
      <c r="Q332" s="263"/>
      <c r="R332" s="263"/>
      <c r="S332" s="263"/>
    </row>
    <row r="333" spans="2:19" ht="13.5" thickBot="1" x14ac:dyDescent="0.25">
      <c r="B333" s="254" t="s">
        <v>1196</v>
      </c>
      <c r="C333" s="255" t="s">
        <v>1101</v>
      </c>
      <c r="D333" s="263"/>
      <c r="E333" s="263"/>
      <c r="F333" s="263"/>
      <c r="G333" s="263"/>
      <c r="H333" s="263"/>
      <c r="I333" s="263"/>
      <c r="J333" s="263"/>
      <c r="K333" s="263"/>
      <c r="L333" s="263"/>
      <c r="M333" s="263"/>
      <c r="N333" s="263"/>
      <c r="O333" s="263"/>
      <c r="P333" s="263"/>
      <c r="Q333" s="263"/>
      <c r="R333" s="263"/>
      <c r="S333" s="263"/>
    </row>
    <row r="334" spans="2:19" ht="13.5" thickBot="1" x14ac:dyDescent="0.25">
      <c r="B334" s="254" t="s">
        <v>1198</v>
      </c>
      <c r="C334" s="255" t="s">
        <v>1199</v>
      </c>
      <c r="D334" s="263"/>
      <c r="E334" s="263"/>
      <c r="F334" s="263"/>
      <c r="G334" s="263"/>
      <c r="H334" s="263"/>
      <c r="I334" s="263"/>
      <c r="J334" s="263"/>
      <c r="K334" s="263"/>
      <c r="L334" s="263"/>
      <c r="M334" s="263"/>
      <c r="N334" s="263"/>
      <c r="O334" s="263"/>
      <c r="P334" s="263"/>
      <c r="Q334" s="263"/>
      <c r="R334" s="263"/>
      <c r="S334" s="263"/>
    </row>
    <row r="335" spans="2:19" ht="13.5" thickBot="1" x14ac:dyDescent="0.25">
      <c r="B335" s="263"/>
      <c r="C335" s="263"/>
      <c r="D335" s="263"/>
      <c r="E335" s="263"/>
      <c r="F335" s="263"/>
      <c r="G335" s="263"/>
      <c r="H335" s="263"/>
      <c r="I335" s="263"/>
      <c r="J335" s="263"/>
      <c r="K335" s="263"/>
      <c r="L335" s="263"/>
      <c r="M335" s="263"/>
      <c r="N335" s="263"/>
      <c r="O335" s="263"/>
      <c r="P335" s="263"/>
      <c r="Q335" s="263"/>
      <c r="R335" s="263"/>
      <c r="S335" s="263"/>
    </row>
    <row r="336" spans="2:19" x14ac:dyDescent="0.2">
      <c r="B336" s="264" t="s">
        <v>1380</v>
      </c>
      <c r="C336" s="265" t="s">
        <v>1381</v>
      </c>
      <c r="D336" s="265" t="s">
        <v>1382</v>
      </c>
      <c r="E336" s="265" t="s">
        <v>1383</v>
      </c>
      <c r="F336" s="265" t="s">
        <v>1384</v>
      </c>
      <c r="G336" s="265" t="s">
        <v>1385</v>
      </c>
      <c r="H336" s="265" t="s">
        <v>1386</v>
      </c>
      <c r="I336" s="266" t="s">
        <v>1387</v>
      </c>
      <c r="J336" s="263"/>
      <c r="K336" s="273"/>
      <c r="L336" s="273"/>
      <c r="M336" s="273"/>
      <c r="N336" s="273"/>
      <c r="O336" s="273"/>
      <c r="P336" s="273"/>
      <c r="Q336" s="273"/>
      <c r="R336" s="273"/>
      <c r="S336" s="273"/>
    </row>
    <row r="337" spans="2:19" x14ac:dyDescent="0.2">
      <c r="B337" s="268" t="s">
        <v>1215</v>
      </c>
      <c r="C337" s="259">
        <v>22</v>
      </c>
      <c r="D337" s="259">
        <v>13</v>
      </c>
      <c r="E337" s="259">
        <v>10</v>
      </c>
      <c r="F337" s="259">
        <v>3</v>
      </c>
      <c r="G337" s="259">
        <v>0</v>
      </c>
      <c r="H337" s="259">
        <v>0</v>
      </c>
      <c r="I337" s="269">
        <v>0</v>
      </c>
      <c r="J337" s="263"/>
      <c r="K337" s="263"/>
      <c r="L337" s="263"/>
      <c r="M337" s="263"/>
      <c r="N337" s="263"/>
      <c r="O337" s="263"/>
      <c r="P337" s="263"/>
      <c r="Q337" s="263"/>
      <c r="R337" s="263"/>
      <c r="S337" s="263"/>
    </row>
    <row r="338" spans="2:19" x14ac:dyDescent="0.2">
      <c r="B338" s="268" t="s">
        <v>1174</v>
      </c>
      <c r="C338" s="259">
        <v>20</v>
      </c>
      <c r="D338" s="259">
        <v>12</v>
      </c>
      <c r="E338" s="259">
        <v>0</v>
      </c>
      <c r="F338" s="259">
        <v>0</v>
      </c>
      <c r="G338" s="259">
        <v>0</v>
      </c>
      <c r="H338" s="259">
        <v>0</v>
      </c>
      <c r="I338" s="269">
        <v>0</v>
      </c>
      <c r="J338" s="263"/>
      <c r="K338" s="263"/>
      <c r="L338" s="263"/>
      <c r="M338" s="263"/>
      <c r="N338" s="263"/>
      <c r="O338" s="263"/>
      <c r="P338" s="263"/>
      <c r="Q338" s="263"/>
      <c r="R338" s="263"/>
      <c r="S338" s="263"/>
    </row>
    <row r="339" spans="2:19" x14ac:dyDescent="0.2">
      <c r="B339" s="268" t="s">
        <v>1173</v>
      </c>
      <c r="C339" s="259">
        <v>103</v>
      </c>
      <c r="D339" s="259">
        <v>208</v>
      </c>
      <c r="E339" s="259">
        <v>57</v>
      </c>
      <c r="F339" s="259">
        <v>37</v>
      </c>
      <c r="G339" s="259">
        <v>3</v>
      </c>
      <c r="H339" s="259">
        <v>4</v>
      </c>
      <c r="I339" s="269">
        <v>0</v>
      </c>
      <c r="J339" s="263"/>
      <c r="K339" s="263"/>
      <c r="L339" s="263"/>
      <c r="M339" s="263"/>
      <c r="N339" s="263"/>
      <c r="O339" s="263"/>
      <c r="P339" s="263"/>
      <c r="Q339" s="263"/>
      <c r="R339" s="263"/>
      <c r="S339" s="263"/>
    </row>
    <row r="340" spans="2:19" x14ac:dyDescent="0.2">
      <c r="B340" s="268" t="s">
        <v>1235</v>
      </c>
      <c r="C340" s="259">
        <v>-29</v>
      </c>
      <c r="D340" s="259">
        <v>-1</v>
      </c>
      <c r="E340" s="259">
        <v>0</v>
      </c>
      <c r="F340" s="259">
        <v>0</v>
      </c>
      <c r="G340" s="259">
        <v>0</v>
      </c>
      <c r="H340" s="259">
        <v>0</v>
      </c>
      <c r="I340" s="269">
        <v>0</v>
      </c>
      <c r="J340" s="263"/>
      <c r="K340" s="263"/>
      <c r="L340" s="263"/>
      <c r="M340" s="263"/>
      <c r="N340" s="263"/>
      <c r="O340" s="263"/>
      <c r="P340" s="263"/>
      <c r="Q340" s="263"/>
      <c r="R340" s="263"/>
      <c r="S340" s="263"/>
    </row>
    <row r="341" spans="2:19" ht="13.5" thickBot="1" x14ac:dyDescent="0.25">
      <c r="B341" s="270" t="s">
        <v>1102</v>
      </c>
      <c r="C341" s="271">
        <v>116</v>
      </c>
      <c r="D341" s="271">
        <v>232</v>
      </c>
      <c r="E341" s="271">
        <v>67</v>
      </c>
      <c r="F341" s="271">
        <v>40</v>
      </c>
      <c r="G341" s="271">
        <v>3</v>
      </c>
      <c r="H341" s="271">
        <v>4</v>
      </c>
      <c r="I341" s="272">
        <v>0</v>
      </c>
      <c r="J341" s="263"/>
      <c r="K341" s="263"/>
      <c r="L341" s="263"/>
      <c r="M341" s="263"/>
      <c r="N341" s="263"/>
      <c r="O341" s="263"/>
      <c r="P341" s="263"/>
      <c r="Q341" s="263"/>
      <c r="R341" s="263"/>
      <c r="S341" s="263"/>
    </row>
    <row r="342" spans="2:19" x14ac:dyDescent="0.2">
      <c r="B342" s="263"/>
      <c r="C342" s="263"/>
      <c r="D342" s="263"/>
      <c r="E342" s="263"/>
      <c r="F342" s="263"/>
      <c r="G342" s="263"/>
      <c r="H342" s="263"/>
      <c r="I342" s="263"/>
      <c r="J342" s="263"/>
      <c r="K342" s="263"/>
      <c r="L342" s="263"/>
      <c r="M342" s="263"/>
      <c r="N342" s="263"/>
      <c r="O342" s="263"/>
      <c r="P342" s="263"/>
      <c r="Q342" s="263"/>
      <c r="R342" s="263"/>
      <c r="S342" s="263"/>
    </row>
    <row r="343" spans="2:19" ht="13.5" thickBot="1" x14ac:dyDescent="0.25">
      <c r="B343" s="263"/>
      <c r="C343" s="263"/>
      <c r="D343" s="263"/>
      <c r="E343" s="263"/>
      <c r="F343" s="263"/>
      <c r="G343" s="263"/>
      <c r="H343" s="263"/>
      <c r="I343" s="263"/>
      <c r="J343" s="263"/>
      <c r="K343" s="263"/>
      <c r="L343" s="263"/>
      <c r="M343" s="263"/>
      <c r="N343" s="263"/>
      <c r="O343" s="263"/>
      <c r="P343" s="263"/>
      <c r="Q343" s="263"/>
      <c r="R343" s="263"/>
      <c r="S343" s="263"/>
    </row>
    <row r="344" spans="2:19" ht="13.5" thickBot="1" x14ac:dyDescent="0.25">
      <c r="B344" s="254" t="s">
        <v>1196</v>
      </c>
      <c r="C344" s="255" t="s">
        <v>1100</v>
      </c>
      <c r="D344" s="263"/>
      <c r="E344" s="263"/>
      <c r="F344" s="263"/>
      <c r="G344" s="263"/>
      <c r="H344" s="263"/>
      <c r="I344" s="263"/>
      <c r="J344" s="263"/>
      <c r="K344" s="263"/>
      <c r="L344" s="263"/>
      <c r="M344" s="263"/>
      <c r="N344" s="263"/>
      <c r="O344" s="263"/>
      <c r="P344" s="263"/>
      <c r="Q344" s="263"/>
      <c r="R344" s="263"/>
      <c r="S344" s="263"/>
    </row>
    <row r="345" spans="2:19" ht="13.5" thickBot="1" x14ac:dyDescent="0.25">
      <c r="B345" s="254" t="s">
        <v>1198</v>
      </c>
      <c r="C345" s="255" t="s">
        <v>1199</v>
      </c>
      <c r="D345" s="263"/>
      <c r="E345" s="263"/>
      <c r="F345" s="263"/>
      <c r="G345" s="263"/>
      <c r="H345" s="263"/>
      <c r="I345" s="263"/>
      <c r="J345" s="263"/>
      <c r="K345" s="263"/>
      <c r="L345" s="263"/>
      <c r="M345" s="263"/>
      <c r="N345" s="263"/>
      <c r="O345" s="263"/>
      <c r="P345" s="263"/>
      <c r="Q345" s="263"/>
      <c r="R345" s="263"/>
      <c r="S345" s="263"/>
    </row>
    <row r="346" spans="2:19" ht="13.5" thickBot="1" x14ac:dyDescent="0.25">
      <c r="B346" s="263"/>
      <c r="C346" s="263"/>
      <c r="D346" s="263"/>
      <c r="E346" s="263"/>
      <c r="F346" s="263"/>
      <c r="G346" s="263"/>
      <c r="H346" s="263"/>
      <c r="I346" s="263"/>
      <c r="J346" s="263"/>
      <c r="K346" s="263"/>
      <c r="L346" s="263"/>
      <c r="M346" s="263"/>
      <c r="N346" s="263"/>
      <c r="O346" s="263"/>
      <c r="P346" s="263"/>
      <c r="Q346" s="263"/>
      <c r="R346" s="263"/>
      <c r="S346" s="263"/>
    </row>
    <row r="347" spans="2:19" x14ac:dyDescent="0.2">
      <c r="B347" s="264" t="s">
        <v>1380</v>
      </c>
      <c r="C347" s="265" t="s">
        <v>1381</v>
      </c>
      <c r="D347" s="265" t="s">
        <v>1382</v>
      </c>
      <c r="E347" s="265" t="s">
        <v>1383</v>
      </c>
      <c r="F347" s="265" t="s">
        <v>1384</v>
      </c>
      <c r="G347" s="265" t="s">
        <v>1385</v>
      </c>
      <c r="H347" s="265" t="s">
        <v>1386</v>
      </c>
      <c r="I347" s="266" t="s">
        <v>1387</v>
      </c>
      <c r="J347" s="263"/>
      <c r="K347" s="273"/>
      <c r="L347" s="273"/>
      <c r="M347" s="273"/>
      <c r="N347" s="273"/>
      <c r="O347" s="273"/>
      <c r="P347" s="273"/>
      <c r="Q347" s="273"/>
      <c r="R347" s="273"/>
      <c r="S347" s="273"/>
    </row>
    <row r="348" spans="2:19" x14ac:dyDescent="0.2">
      <c r="B348" s="268" t="s">
        <v>1215</v>
      </c>
      <c r="C348" s="259">
        <v>0</v>
      </c>
      <c r="D348" s="259">
        <v>0</v>
      </c>
      <c r="E348" s="259">
        <v>3</v>
      </c>
      <c r="F348" s="259">
        <v>4</v>
      </c>
      <c r="G348" s="259">
        <v>0</v>
      </c>
      <c r="H348" s="259">
        <v>0</v>
      </c>
      <c r="I348" s="269">
        <v>0</v>
      </c>
      <c r="J348" s="263"/>
      <c r="K348" s="263"/>
      <c r="L348" s="263"/>
      <c r="M348" s="263"/>
      <c r="N348" s="263"/>
      <c r="O348" s="263"/>
      <c r="P348" s="263"/>
      <c r="Q348" s="263"/>
      <c r="R348" s="263"/>
      <c r="S348" s="263"/>
    </row>
    <row r="349" spans="2:19" x14ac:dyDescent="0.2">
      <c r="B349" s="268" t="s">
        <v>1173</v>
      </c>
      <c r="C349" s="259">
        <v>50</v>
      </c>
      <c r="D349" s="259">
        <v>44</v>
      </c>
      <c r="E349" s="259">
        <v>28</v>
      </c>
      <c r="F349" s="259">
        <v>8</v>
      </c>
      <c r="G349" s="259">
        <v>13</v>
      </c>
      <c r="H349" s="259">
        <v>5</v>
      </c>
      <c r="I349" s="269">
        <v>1</v>
      </c>
      <c r="J349" s="263"/>
      <c r="K349" s="263"/>
      <c r="L349" s="263"/>
      <c r="M349" s="263"/>
      <c r="N349" s="263"/>
      <c r="O349" s="263"/>
      <c r="P349" s="263"/>
      <c r="Q349" s="263"/>
      <c r="R349" s="263"/>
      <c r="S349" s="263"/>
    </row>
    <row r="350" spans="2:19" ht="13.5" thickBot="1" x14ac:dyDescent="0.25">
      <c r="B350" s="270" t="s">
        <v>1102</v>
      </c>
      <c r="C350" s="271">
        <v>50</v>
      </c>
      <c r="D350" s="271">
        <v>44</v>
      </c>
      <c r="E350" s="271">
        <v>31</v>
      </c>
      <c r="F350" s="271">
        <v>12</v>
      </c>
      <c r="G350" s="271">
        <v>13</v>
      </c>
      <c r="H350" s="271">
        <v>5</v>
      </c>
      <c r="I350" s="272">
        <v>1</v>
      </c>
      <c r="K350" s="263"/>
      <c r="L350" s="263"/>
      <c r="M350" s="263"/>
      <c r="N350" s="263"/>
      <c r="O350" s="263"/>
      <c r="P350" s="263"/>
      <c r="Q350" s="263"/>
      <c r="R350" s="263"/>
      <c r="S350" s="263"/>
    </row>
    <row r="351" spans="2:19" x14ac:dyDescent="0.2">
      <c r="B351" s="263"/>
      <c r="C351" s="263"/>
      <c r="D351" s="263"/>
      <c r="E351" s="263"/>
      <c r="F351" s="263"/>
      <c r="G351" s="263"/>
      <c r="H351" s="263"/>
      <c r="I351" s="263"/>
      <c r="K351" s="263"/>
      <c r="L351" s="263"/>
      <c r="M351" s="263"/>
      <c r="N351" s="263"/>
      <c r="O351" s="263"/>
      <c r="P351" s="263"/>
      <c r="Q351" s="263"/>
      <c r="R351" s="263"/>
      <c r="S351" s="263"/>
    </row>
    <row r="352" spans="2:19" ht="13.5" thickBot="1" x14ac:dyDescent="0.25">
      <c r="B352" s="263"/>
      <c r="C352" s="263"/>
      <c r="D352" s="263"/>
      <c r="E352" s="263"/>
      <c r="F352" s="263"/>
      <c r="G352" s="263"/>
      <c r="H352" s="263"/>
      <c r="I352" s="263"/>
      <c r="J352" s="263"/>
      <c r="K352" s="263"/>
      <c r="L352" s="263"/>
      <c r="M352" s="263"/>
      <c r="N352" s="263"/>
      <c r="O352" s="263"/>
      <c r="P352" s="263"/>
      <c r="Q352" s="263"/>
      <c r="R352" s="263"/>
      <c r="S352" s="263"/>
    </row>
    <row r="353" spans="2:19" x14ac:dyDescent="0.2">
      <c r="B353" s="263"/>
      <c r="C353" s="263"/>
      <c r="D353" s="263"/>
      <c r="E353" s="263"/>
      <c r="F353" s="263"/>
      <c r="G353" s="263"/>
      <c r="H353" s="263"/>
      <c r="I353" s="263"/>
      <c r="J353" s="263"/>
      <c r="K353" s="263"/>
      <c r="L353" s="263"/>
      <c r="M353" s="263"/>
      <c r="N353" s="263"/>
      <c r="O353" s="263"/>
      <c r="P353" s="263"/>
      <c r="Q353" s="263"/>
      <c r="R353" s="263"/>
      <c r="S353" s="263"/>
    </row>
    <row r="354" spans="2:19" x14ac:dyDescent="0.2">
      <c r="B354" s="263"/>
      <c r="C354" s="263"/>
      <c r="D354" s="263"/>
      <c r="E354" s="263"/>
      <c r="F354" s="263"/>
      <c r="G354" s="263"/>
      <c r="H354" s="263"/>
      <c r="I354" s="263"/>
      <c r="J354" s="263"/>
      <c r="K354" s="263"/>
      <c r="L354" s="263"/>
      <c r="M354" s="263"/>
      <c r="N354" s="263"/>
      <c r="O354" s="263"/>
      <c r="P354" s="263"/>
      <c r="Q354" s="263"/>
      <c r="R354" s="263"/>
      <c r="S354" s="263"/>
    </row>
    <row r="355" spans="2:19" x14ac:dyDescent="0.2">
      <c r="B355" s="263"/>
      <c r="C355" s="263"/>
      <c r="D355" s="263"/>
      <c r="E355" s="263"/>
      <c r="F355" s="263"/>
      <c r="G355" s="263"/>
      <c r="H355" s="263"/>
      <c r="I355" s="263"/>
      <c r="J355" s="263"/>
      <c r="K355" s="263"/>
      <c r="L355" s="263"/>
      <c r="M355" s="263"/>
      <c r="N355" s="263"/>
      <c r="O355" s="263"/>
      <c r="P355" s="263"/>
      <c r="Q355" s="263"/>
      <c r="R355" s="263"/>
      <c r="S355" s="263"/>
    </row>
    <row r="356" spans="2:19" x14ac:dyDescent="0.2">
      <c r="B356" s="263"/>
      <c r="C356" s="263"/>
      <c r="D356" s="263"/>
      <c r="E356" s="263"/>
      <c r="F356" s="263"/>
      <c r="G356" s="263"/>
      <c r="H356" s="263"/>
      <c r="I356" s="263"/>
      <c r="J356" s="263"/>
      <c r="S356" s="263"/>
    </row>
    <row r="357" spans="2:19" x14ac:dyDescent="0.2">
      <c r="B357" s="262"/>
      <c r="C357" s="263"/>
      <c r="D357" s="263"/>
      <c r="E357" s="262"/>
      <c r="F357" s="263"/>
      <c r="G357" s="263"/>
      <c r="H357" s="262"/>
      <c r="I357" s="263"/>
      <c r="J357" s="263"/>
      <c r="S357" s="263"/>
    </row>
    <row r="358" spans="2:19" ht="13.5" thickBot="1" x14ac:dyDescent="0.25">
      <c r="B358" s="263" t="s">
        <v>1452</v>
      </c>
      <c r="C358" s="263"/>
      <c r="D358" s="263"/>
      <c r="E358" s="263" t="s">
        <v>1159</v>
      </c>
      <c r="F358" s="263"/>
      <c r="G358" s="263"/>
      <c r="H358" s="263" t="s">
        <v>1453</v>
      </c>
      <c r="I358" s="263"/>
      <c r="J358" s="263"/>
      <c r="S358" s="263"/>
    </row>
    <row r="359" spans="2:19" ht="13.5" thickBot="1" x14ac:dyDescent="0.25">
      <c r="B359" s="254" t="s">
        <v>1196</v>
      </c>
      <c r="C359" s="255" t="s">
        <v>1101</v>
      </c>
      <c r="D359" s="263"/>
      <c r="E359" s="254" t="s">
        <v>1196</v>
      </c>
      <c r="F359" s="255" t="s">
        <v>1100</v>
      </c>
      <c r="G359" s="263"/>
      <c r="H359" s="254" t="s">
        <v>1196</v>
      </c>
      <c r="I359" s="255" t="s">
        <v>1101</v>
      </c>
      <c r="J359" s="263"/>
      <c r="S359" s="263"/>
    </row>
    <row r="360" spans="2:19" ht="13.5" thickBot="1" x14ac:dyDescent="0.25">
      <c r="B360" s="254" t="s">
        <v>1200</v>
      </c>
      <c r="C360" s="255" t="s">
        <v>1201</v>
      </c>
      <c r="D360" s="263"/>
      <c r="E360" s="254" t="s">
        <v>1200</v>
      </c>
      <c r="F360" s="255" t="s">
        <v>1201</v>
      </c>
      <c r="G360" s="263"/>
      <c r="H360" s="254" t="s">
        <v>1200</v>
      </c>
      <c r="I360" s="255" t="s">
        <v>1201</v>
      </c>
      <c r="J360" s="263"/>
      <c r="S360" s="263"/>
    </row>
    <row r="361" spans="2:19" ht="13.5" thickBot="1" x14ac:dyDescent="0.25">
      <c r="B361" s="254" t="s">
        <v>1198</v>
      </c>
      <c r="C361" s="255" t="s">
        <v>1199</v>
      </c>
      <c r="D361" s="263"/>
      <c r="E361" s="254" t="s">
        <v>1198</v>
      </c>
      <c r="F361" s="255" t="s">
        <v>1199</v>
      </c>
      <c r="G361" s="263"/>
      <c r="H361" s="254" t="s">
        <v>1198</v>
      </c>
      <c r="I361" s="255" t="s">
        <v>1199</v>
      </c>
      <c r="J361" s="263"/>
      <c r="S361" s="263"/>
    </row>
    <row r="362" spans="2:19" ht="13.5" thickBot="1" x14ac:dyDescent="0.25">
      <c r="B362" s="263"/>
      <c r="C362" s="263"/>
      <c r="D362" s="263"/>
      <c r="E362" s="263"/>
      <c r="F362" s="263"/>
      <c r="G362" s="263"/>
      <c r="H362" s="263"/>
      <c r="I362" s="263"/>
      <c r="J362" s="263"/>
      <c r="S362" s="263"/>
    </row>
    <row r="363" spans="2:19" x14ac:dyDescent="0.2">
      <c r="B363" s="274" t="s">
        <v>1380</v>
      </c>
      <c r="C363" s="266" t="s">
        <v>1197</v>
      </c>
      <c r="D363" s="273"/>
      <c r="E363" s="274" t="s">
        <v>1380</v>
      </c>
      <c r="F363" s="266" t="s">
        <v>1197</v>
      </c>
      <c r="G363" s="273"/>
      <c r="H363" s="274" t="s">
        <v>1380</v>
      </c>
      <c r="I363" s="266" t="s">
        <v>1197</v>
      </c>
      <c r="J363" s="273"/>
      <c r="S363" s="273"/>
    </row>
    <row r="364" spans="2:19" x14ac:dyDescent="0.2">
      <c r="B364" s="268" t="s">
        <v>1414</v>
      </c>
      <c r="C364" s="269">
        <v>2</v>
      </c>
      <c r="D364" s="263"/>
      <c r="E364" s="268" t="s">
        <v>1414</v>
      </c>
      <c r="F364" s="269">
        <v>4</v>
      </c>
      <c r="G364" s="263"/>
      <c r="H364" s="268" t="s">
        <v>1402</v>
      </c>
      <c r="I364" s="269">
        <v>4</v>
      </c>
      <c r="J364" s="263"/>
      <c r="S364" s="263"/>
    </row>
    <row r="365" spans="2:19" x14ac:dyDescent="0.2">
      <c r="B365" s="268" t="s">
        <v>1402</v>
      </c>
      <c r="C365" s="269">
        <v>2</v>
      </c>
      <c r="D365" s="263"/>
      <c r="E365" s="268" t="s">
        <v>1402</v>
      </c>
      <c r="F365" s="269">
        <v>2</v>
      </c>
      <c r="G365" s="263"/>
      <c r="H365" s="268" t="s">
        <v>1458</v>
      </c>
      <c r="I365" s="269">
        <v>3</v>
      </c>
      <c r="J365" s="263"/>
      <c r="S365" s="263"/>
    </row>
    <row r="366" spans="2:19" x14ac:dyDescent="0.2">
      <c r="B366" s="268" t="s">
        <v>1458</v>
      </c>
      <c r="C366" s="269">
        <v>6</v>
      </c>
      <c r="D366" s="263"/>
      <c r="E366" s="268" t="s">
        <v>1458</v>
      </c>
      <c r="F366" s="269">
        <v>41</v>
      </c>
      <c r="G366" s="263"/>
      <c r="H366" s="268" t="s">
        <v>1487</v>
      </c>
      <c r="I366" s="269">
        <v>-4</v>
      </c>
      <c r="J366" s="263"/>
      <c r="S366" s="263"/>
    </row>
    <row r="367" spans="2:19" x14ac:dyDescent="0.2">
      <c r="B367" s="268" t="s">
        <v>1487</v>
      </c>
      <c r="C367" s="269">
        <v>22</v>
      </c>
      <c r="D367" s="263"/>
      <c r="E367" s="268" t="s">
        <v>1487</v>
      </c>
      <c r="F367" s="269">
        <v>0</v>
      </c>
      <c r="G367" s="263"/>
      <c r="H367" s="268" t="s">
        <v>1417</v>
      </c>
      <c r="I367" s="269">
        <v>3</v>
      </c>
      <c r="J367" s="263"/>
      <c r="S367" s="263"/>
    </row>
    <row r="368" spans="2:19" x14ac:dyDescent="0.2">
      <c r="B368" s="268" t="s">
        <v>1417</v>
      </c>
      <c r="C368" s="269">
        <v>10</v>
      </c>
      <c r="D368" s="263"/>
      <c r="E368" s="268" t="s">
        <v>1417</v>
      </c>
      <c r="F368" s="269">
        <v>37</v>
      </c>
      <c r="G368" s="263"/>
      <c r="H368" s="268" t="s">
        <v>1418</v>
      </c>
      <c r="I368" s="269">
        <v>7</v>
      </c>
      <c r="J368" s="263"/>
      <c r="S368" s="263"/>
    </row>
    <row r="369" spans="2:19" x14ac:dyDescent="0.2">
      <c r="B369" s="268" t="s">
        <v>1416</v>
      </c>
      <c r="C369" s="269">
        <v>2</v>
      </c>
      <c r="D369" s="263"/>
      <c r="E369" s="268" t="s">
        <v>1416</v>
      </c>
      <c r="F369" s="269">
        <v>4</v>
      </c>
      <c r="G369" s="263"/>
      <c r="H369" s="268" t="s">
        <v>1420</v>
      </c>
      <c r="I369" s="269">
        <v>4</v>
      </c>
      <c r="J369" s="263"/>
      <c r="S369" s="263"/>
    </row>
    <row r="370" spans="2:19" x14ac:dyDescent="0.2">
      <c r="B370" s="268" t="s">
        <v>1418</v>
      </c>
      <c r="C370" s="269">
        <v>42</v>
      </c>
      <c r="D370" s="263"/>
      <c r="E370" s="268" t="s">
        <v>1418</v>
      </c>
      <c r="F370" s="269">
        <v>19</v>
      </c>
      <c r="G370" s="263"/>
      <c r="H370" s="268" t="s">
        <v>1459</v>
      </c>
      <c r="I370" s="269">
        <v>2</v>
      </c>
      <c r="J370" s="263"/>
      <c r="S370" s="263"/>
    </row>
    <row r="371" spans="2:19" x14ac:dyDescent="0.2">
      <c r="B371" s="268" t="s">
        <v>1419</v>
      </c>
      <c r="C371" s="269">
        <v>4</v>
      </c>
      <c r="D371" s="263"/>
      <c r="E371" s="268" t="s">
        <v>1419</v>
      </c>
      <c r="F371" s="269">
        <v>2</v>
      </c>
      <c r="G371" s="263"/>
      <c r="H371" s="268" t="s">
        <v>1422</v>
      </c>
      <c r="I371" s="269">
        <v>-1</v>
      </c>
      <c r="J371" s="263"/>
      <c r="S371" s="263"/>
    </row>
    <row r="372" spans="2:19" x14ac:dyDescent="0.2">
      <c r="B372" s="268" t="s">
        <v>1420</v>
      </c>
      <c r="C372" s="269">
        <v>34</v>
      </c>
      <c r="D372" s="263"/>
      <c r="E372" s="268" t="s">
        <v>1420</v>
      </c>
      <c r="F372" s="269">
        <v>1</v>
      </c>
      <c r="G372" s="263"/>
      <c r="H372" s="268" t="s">
        <v>1423</v>
      </c>
      <c r="I372" s="269">
        <v>9</v>
      </c>
      <c r="J372" s="263"/>
      <c r="S372" s="263"/>
    </row>
    <row r="373" spans="2:19" x14ac:dyDescent="0.2">
      <c r="B373" s="268" t="s">
        <v>1459</v>
      </c>
      <c r="C373" s="269">
        <v>1</v>
      </c>
      <c r="D373" s="263"/>
      <c r="E373" s="268" t="s">
        <v>1459</v>
      </c>
      <c r="F373" s="269">
        <v>10</v>
      </c>
      <c r="G373" s="263"/>
      <c r="H373" s="268" t="s">
        <v>1424</v>
      </c>
      <c r="I373" s="269">
        <v>3</v>
      </c>
      <c r="J373" s="263"/>
      <c r="S373" s="263"/>
    </row>
    <row r="374" spans="2:19" x14ac:dyDescent="0.2">
      <c r="B374" s="268" t="s">
        <v>1422</v>
      </c>
      <c r="C374" s="269">
        <v>2</v>
      </c>
      <c r="D374" s="263"/>
      <c r="E374" s="268" t="s">
        <v>1422</v>
      </c>
      <c r="F374" s="269">
        <v>7</v>
      </c>
      <c r="G374" s="263"/>
      <c r="H374" s="268" t="s">
        <v>1405</v>
      </c>
      <c r="I374" s="269">
        <v>12</v>
      </c>
      <c r="J374" s="263"/>
      <c r="S374" s="263"/>
    </row>
    <row r="375" spans="2:19" x14ac:dyDescent="0.2">
      <c r="B375" s="268" t="s">
        <v>1423</v>
      </c>
      <c r="C375" s="269">
        <v>17</v>
      </c>
      <c r="D375" s="263"/>
      <c r="E375" s="268" t="s">
        <v>1423</v>
      </c>
      <c r="F375" s="269">
        <v>4</v>
      </c>
      <c r="G375" s="263"/>
      <c r="H375" s="268" t="s">
        <v>1427</v>
      </c>
      <c r="I375" s="269">
        <v>1</v>
      </c>
      <c r="J375" s="263"/>
      <c r="S375" s="263"/>
    </row>
    <row r="376" spans="2:19" ht="13.5" thickBot="1" x14ac:dyDescent="0.25">
      <c r="B376" s="268" t="s">
        <v>1424</v>
      </c>
      <c r="C376" s="269">
        <v>9</v>
      </c>
      <c r="D376" s="263"/>
      <c r="E376" s="268" t="s">
        <v>1424</v>
      </c>
      <c r="F376" s="269">
        <v>10</v>
      </c>
      <c r="G376" s="263"/>
      <c r="H376" s="270" t="s">
        <v>1102</v>
      </c>
      <c r="I376" s="272">
        <v>43</v>
      </c>
      <c r="J376" s="263"/>
      <c r="S376" s="263"/>
    </row>
    <row r="377" spans="2:19" x14ac:dyDescent="0.2">
      <c r="B377" s="268" t="s">
        <v>1488</v>
      </c>
      <c r="C377" s="269">
        <v>281</v>
      </c>
      <c r="D377" s="263"/>
      <c r="E377" s="268" t="s">
        <v>1488</v>
      </c>
      <c r="F377" s="269">
        <v>4</v>
      </c>
      <c r="G377" s="263"/>
      <c r="H377" s="263"/>
      <c r="I377" s="263"/>
      <c r="J377" s="263"/>
      <c r="S377" s="263"/>
    </row>
    <row r="378" spans="2:19" x14ac:dyDescent="0.2">
      <c r="B378" s="268" t="s">
        <v>1405</v>
      </c>
      <c r="C378" s="269">
        <v>29</v>
      </c>
      <c r="D378" s="263"/>
      <c r="E378" s="268" t="s">
        <v>1405</v>
      </c>
      <c r="F378" s="269">
        <v>1</v>
      </c>
      <c r="G378" s="263"/>
      <c r="H378" s="263"/>
      <c r="I378" s="263"/>
      <c r="J378" s="263"/>
      <c r="S378" s="263"/>
    </row>
    <row r="379" spans="2:19" x14ac:dyDescent="0.2">
      <c r="B379" s="268" t="s">
        <v>1426</v>
      </c>
      <c r="C379" s="269">
        <v>1</v>
      </c>
      <c r="D379" s="263"/>
      <c r="E379" s="268" t="s">
        <v>1426</v>
      </c>
      <c r="F379" s="269">
        <v>7</v>
      </c>
      <c r="G379" s="263"/>
      <c r="H379" s="263"/>
      <c r="I379" s="263"/>
      <c r="J379" s="263"/>
      <c r="S379" s="263"/>
    </row>
    <row r="380" spans="2:19" x14ac:dyDescent="0.2">
      <c r="B380" s="268" t="s">
        <v>1427</v>
      </c>
      <c r="C380" s="269">
        <v>2</v>
      </c>
      <c r="D380" s="263"/>
      <c r="E380" s="268" t="s">
        <v>1427</v>
      </c>
      <c r="F380" s="269">
        <v>1</v>
      </c>
      <c r="G380" s="263"/>
      <c r="H380" s="263"/>
      <c r="I380" s="263"/>
      <c r="J380" s="263"/>
      <c r="S380" s="263"/>
    </row>
    <row r="381" spans="2:19" x14ac:dyDescent="0.2">
      <c r="B381" s="268" t="s">
        <v>1428</v>
      </c>
      <c r="C381" s="269">
        <v>-4</v>
      </c>
      <c r="D381" s="263"/>
      <c r="E381" s="268" t="s">
        <v>1428</v>
      </c>
      <c r="F381" s="269">
        <v>2</v>
      </c>
      <c r="G381" s="263"/>
      <c r="H381" s="263"/>
      <c r="I381" s="263"/>
      <c r="J381" s="263"/>
      <c r="S381" s="263"/>
    </row>
    <row r="382" spans="2:19" ht="13.5" thickBot="1" x14ac:dyDescent="0.25">
      <c r="B382" s="270" t="s">
        <v>1102</v>
      </c>
      <c r="C382" s="272">
        <v>462</v>
      </c>
      <c r="D382" s="263"/>
      <c r="E382" s="270" t="s">
        <v>1102</v>
      </c>
      <c r="F382" s="272">
        <v>156</v>
      </c>
      <c r="G382" s="263"/>
      <c r="H382" s="263"/>
      <c r="I382" s="263"/>
      <c r="J382" s="263"/>
      <c r="S382" s="263"/>
    </row>
    <row r="383" spans="2:19" x14ac:dyDescent="0.2">
      <c r="B383" s="263"/>
      <c r="C383" s="263"/>
      <c r="D383" s="263"/>
      <c r="E383" s="263"/>
      <c r="F383" s="263"/>
      <c r="G383" s="263"/>
      <c r="H383" s="263"/>
      <c r="I383" s="263"/>
      <c r="J383" s="263"/>
      <c r="S383" s="263"/>
    </row>
    <row r="388" spans="2:9" x14ac:dyDescent="0.2">
      <c r="B388" s="263"/>
      <c r="C388" s="263"/>
      <c r="D388" s="263"/>
      <c r="E388" s="263"/>
      <c r="F388" s="263"/>
      <c r="G388" s="263"/>
      <c r="H388" s="263"/>
      <c r="I388" s="263"/>
    </row>
    <row r="389" spans="2:9" x14ac:dyDescent="0.2">
      <c r="B389" s="262" t="s">
        <v>1561</v>
      </c>
      <c r="C389" s="263"/>
      <c r="D389" s="263"/>
      <c r="E389" s="262" t="s">
        <v>1561</v>
      </c>
      <c r="F389" s="263"/>
      <c r="G389" s="263"/>
      <c r="H389" s="262" t="s">
        <v>1561</v>
      </c>
      <c r="I389" s="263"/>
    </row>
    <row r="390" spans="2:9" ht="13.5" thickBot="1" x14ac:dyDescent="0.25">
      <c r="B390" s="263" t="s">
        <v>1454</v>
      </c>
      <c r="C390" s="263"/>
      <c r="D390" s="263"/>
      <c r="E390" s="263" t="s">
        <v>1453</v>
      </c>
      <c r="F390" s="263"/>
      <c r="G390" s="263"/>
      <c r="H390" s="263" t="s">
        <v>1454</v>
      </c>
      <c r="I390" s="263"/>
    </row>
    <row r="391" spans="2:9" ht="13.5" thickBot="1" x14ac:dyDescent="0.25">
      <c r="B391" s="254" t="s">
        <v>1196</v>
      </c>
      <c r="C391" s="255" t="s">
        <v>1100</v>
      </c>
      <c r="D391" s="263"/>
      <c r="E391" s="254" t="s">
        <v>1196</v>
      </c>
      <c r="F391" s="255" t="s">
        <v>1101</v>
      </c>
      <c r="G391" s="263"/>
      <c r="H391" s="254" t="s">
        <v>1196</v>
      </c>
      <c r="I391" s="255" t="s">
        <v>1100</v>
      </c>
    </row>
    <row r="392" spans="2:9" ht="13.5" thickBot="1" x14ac:dyDescent="0.25">
      <c r="B392" s="254" t="s">
        <v>1200</v>
      </c>
      <c r="C392" s="255" t="s">
        <v>1201</v>
      </c>
      <c r="D392" s="263"/>
      <c r="E392" s="254" t="s">
        <v>1200</v>
      </c>
      <c r="F392" s="255" t="s">
        <v>1203</v>
      </c>
      <c r="G392" s="263"/>
      <c r="H392" s="254" t="s">
        <v>1200</v>
      </c>
      <c r="I392" s="255" t="s">
        <v>1203</v>
      </c>
    </row>
    <row r="393" spans="2:9" ht="13.5" thickBot="1" x14ac:dyDescent="0.25">
      <c r="B393" s="254" t="s">
        <v>1198</v>
      </c>
      <c r="C393" s="255" t="s">
        <v>1199</v>
      </c>
      <c r="D393" s="263"/>
      <c r="E393" s="254" t="s">
        <v>1198</v>
      </c>
      <c r="F393" s="255" t="s">
        <v>1199</v>
      </c>
      <c r="G393" s="263"/>
      <c r="H393" s="254" t="s">
        <v>1198</v>
      </c>
      <c r="I393" s="255" t="s">
        <v>1199</v>
      </c>
    </row>
    <row r="394" spans="2:9" ht="13.5" thickBot="1" x14ac:dyDescent="0.25">
      <c r="B394" s="263"/>
      <c r="C394" s="263"/>
      <c r="D394" s="263"/>
      <c r="E394" s="263"/>
      <c r="F394" s="263"/>
      <c r="G394" s="263"/>
      <c r="H394" s="263"/>
      <c r="I394" s="263"/>
    </row>
    <row r="395" spans="2:9" x14ac:dyDescent="0.2">
      <c r="B395" s="274" t="s">
        <v>1380</v>
      </c>
      <c r="C395" s="266" t="s">
        <v>1197</v>
      </c>
      <c r="D395" s="273"/>
      <c r="E395" s="274" t="s">
        <v>1380</v>
      </c>
      <c r="F395" s="266" t="s">
        <v>1197</v>
      </c>
      <c r="G395" s="273"/>
      <c r="H395" s="274" t="s">
        <v>1380</v>
      </c>
      <c r="I395" s="266" t="s">
        <v>1197</v>
      </c>
    </row>
    <row r="396" spans="2:9" x14ac:dyDescent="0.2">
      <c r="B396" s="268" t="s">
        <v>1414</v>
      </c>
      <c r="C396" s="269">
        <v>-1</v>
      </c>
      <c r="D396" s="263"/>
      <c r="E396" s="268" t="s">
        <v>1402</v>
      </c>
      <c r="F396" s="269">
        <v>1</v>
      </c>
      <c r="G396" s="263"/>
      <c r="H396" s="268" t="s">
        <v>1414</v>
      </c>
      <c r="I396" s="269">
        <v>2</v>
      </c>
    </row>
    <row r="397" spans="2:9" x14ac:dyDescent="0.2">
      <c r="B397" s="268" t="s">
        <v>1402</v>
      </c>
      <c r="C397" s="269">
        <v>0</v>
      </c>
      <c r="D397" s="263"/>
      <c r="E397" s="268" t="s">
        <v>1418</v>
      </c>
      <c r="F397" s="269">
        <v>8</v>
      </c>
      <c r="G397" s="263"/>
      <c r="H397" s="268" t="s">
        <v>1402</v>
      </c>
      <c r="I397" s="269">
        <v>22</v>
      </c>
    </row>
    <row r="398" spans="2:9" x14ac:dyDescent="0.2">
      <c r="B398" s="268" t="s">
        <v>1458</v>
      </c>
      <c r="C398" s="269">
        <v>15</v>
      </c>
      <c r="D398" s="263"/>
      <c r="E398" s="268" t="s">
        <v>1420</v>
      </c>
      <c r="F398" s="269">
        <v>5</v>
      </c>
      <c r="G398" s="263"/>
      <c r="H398" s="268" t="s">
        <v>1458</v>
      </c>
      <c r="I398" s="269">
        <v>6</v>
      </c>
    </row>
    <row r="399" spans="2:9" x14ac:dyDescent="0.2">
      <c r="B399" s="268" t="s">
        <v>1487</v>
      </c>
      <c r="C399" s="269">
        <v>0</v>
      </c>
      <c r="D399" s="263"/>
      <c r="E399" s="268" t="s">
        <v>1459</v>
      </c>
      <c r="F399" s="269">
        <v>2</v>
      </c>
      <c r="G399" s="263"/>
      <c r="H399" s="268" t="s">
        <v>1420</v>
      </c>
      <c r="I399" s="269">
        <v>6</v>
      </c>
    </row>
    <row r="400" spans="2:9" x14ac:dyDescent="0.2">
      <c r="B400" s="268" t="s">
        <v>1417</v>
      </c>
      <c r="C400" s="269">
        <v>6</v>
      </c>
      <c r="D400" s="263"/>
      <c r="E400" s="268" t="s">
        <v>1422</v>
      </c>
      <c r="F400" s="269">
        <v>2</v>
      </c>
      <c r="G400" s="263"/>
      <c r="H400" s="268" t="s">
        <v>1459</v>
      </c>
      <c r="I400" s="269">
        <v>1</v>
      </c>
    </row>
    <row r="401" spans="2:9" x14ac:dyDescent="0.2">
      <c r="B401" s="268" t="s">
        <v>1416</v>
      </c>
      <c r="C401" s="269">
        <v>1</v>
      </c>
      <c r="D401" s="263"/>
      <c r="E401" s="268" t="s">
        <v>1424</v>
      </c>
      <c r="F401" s="269">
        <v>10</v>
      </c>
      <c r="G401" s="263"/>
      <c r="H401" s="268" t="s">
        <v>1405</v>
      </c>
      <c r="I401" s="269">
        <v>11</v>
      </c>
    </row>
    <row r="402" spans="2:9" x14ac:dyDescent="0.2">
      <c r="B402" s="268" t="s">
        <v>1418</v>
      </c>
      <c r="C402" s="269">
        <v>3</v>
      </c>
      <c r="D402" s="263"/>
      <c r="E402" s="268" t="s">
        <v>1488</v>
      </c>
      <c r="F402" s="269">
        <v>6</v>
      </c>
      <c r="G402" s="263"/>
      <c r="H402" s="268" t="s">
        <v>1426</v>
      </c>
      <c r="I402" s="269">
        <v>2</v>
      </c>
    </row>
    <row r="403" spans="2:9" ht="13.5" thickBot="1" x14ac:dyDescent="0.25">
      <c r="B403" s="268" t="s">
        <v>1420</v>
      </c>
      <c r="C403" s="269">
        <v>1</v>
      </c>
      <c r="D403" s="263"/>
      <c r="E403" s="268" t="s">
        <v>1426</v>
      </c>
      <c r="F403" s="269">
        <v>9</v>
      </c>
      <c r="G403" s="263"/>
      <c r="H403" s="270" t="s">
        <v>1102</v>
      </c>
      <c r="I403" s="272">
        <v>50</v>
      </c>
    </row>
    <row r="404" spans="2:9" x14ac:dyDescent="0.2">
      <c r="B404" s="268" t="s">
        <v>1422</v>
      </c>
      <c r="C404" s="269">
        <v>81</v>
      </c>
      <c r="D404" s="263"/>
      <c r="E404" s="268" t="s">
        <v>1427</v>
      </c>
      <c r="F404" s="269">
        <v>3</v>
      </c>
      <c r="G404" s="263"/>
      <c r="H404" s="263"/>
      <c r="I404" s="263"/>
    </row>
    <row r="405" spans="2:9" x14ac:dyDescent="0.2">
      <c r="B405" s="268" t="s">
        <v>1423</v>
      </c>
      <c r="C405" s="269">
        <v>3</v>
      </c>
      <c r="D405" s="263"/>
      <c r="E405" s="268" t="s">
        <v>1428</v>
      </c>
      <c r="F405" s="269">
        <v>1</v>
      </c>
      <c r="G405" s="263"/>
      <c r="H405" s="263"/>
      <c r="I405" s="263"/>
    </row>
    <row r="406" spans="2:9" ht="13.5" thickBot="1" x14ac:dyDescent="0.25">
      <c r="B406" s="268" t="s">
        <v>1424</v>
      </c>
      <c r="C406" s="269">
        <v>3</v>
      </c>
      <c r="D406" s="263"/>
      <c r="E406" s="270" t="s">
        <v>1102</v>
      </c>
      <c r="F406" s="272">
        <v>47</v>
      </c>
      <c r="G406" s="263"/>
      <c r="H406" s="263"/>
      <c r="I406" s="263"/>
    </row>
    <row r="407" spans="2:9" x14ac:dyDescent="0.2">
      <c r="B407" s="268" t="s">
        <v>1405</v>
      </c>
      <c r="C407" s="269">
        <v>-1</v>
      </c>
      <c r="D407" s="263"/>
      <c r="E407" s="263"/>
      <c r="F407" s="263"/>
      <c r="G407" s="263"/>
      <c r="H407" s="263"/>
      <c r="I407" s="263"/>
    </row>
    <row r="408" spans="2:9" x14ac:dyDescent="0.2">
      <c r="B408" s="268" t="s">
        <v>1426</v>
      </c>
      <c r="C408" s="269">
        <v>3</v>
      </c>
      <c r="D408" s="263"/>
      <c r="E408" s="263"/>
      <c r="F408" s="263"/>
      <c r="G408" s="263"/>
      <c r="H408" s="263"/>
      <c r="I408" s="263"/>
    </row>
    <row r="409" spans="2:9" x14ac:dyDescent="0.2">
      <c r="B409" s="268" t="s">
        <v>1427</v>
      </c>
      <c r="C409" s="269">
        <v>4</v>
      </c>
      <c r="D409" s="263"/>
      <c r="E409" s="263"/>
      <c r="F409" s="263"/>
      <c r="G409" s="263"/>
      <c r="H409" s="263"/>
      <c r="I409" s="263"/>
    </row>
    <row r="410" spans="2:9" ht="13.5" thickBot="1" x14ac:dyDescent="0.25">
      <c r="B410" s="270" t="s">
        <v>1102</v>
      </c>
      <c r="C410" s="272">
        <v>118</v>
      </c>
      <c r="D410" s="263"/>
      <c r="E410" s="263"/>
      <c r="F410" s="263"/>
      <c r="G410" s="263"/>
      <c r="H410" s="263"/>
      <c r="I410" s="263"/>
    </row>
    <row r="411" spans="2:9" x14ac:dyDescent="0.2">
      <c r="B411" s="263"/>
      <c r="C411" s="263"/>
      <c r="D411" s="263"/>
      <c r="E411" s="263"/>
      <c r="F411" s="263"/>
      <c r="G411" s="263"/>
      <c r="H411" s="263"/>
      <c r="I411" s="263"/>
    </row>
    <row r="412" spans="2:9" x14ac:dyDescent="0.2">
      <c r="B412" s="263"/>
      <c r="C412" s="263"/>
      <c r="D412" s="263"/>
      <c r="E412" s="263"/>
      <c r="F412" s="263"/>
      <c r="G412" s="263"/>
      <c r="H412" s="263"/>
      <c r="I412" s="263"/>
    </row>
    <row r="413" spans="2:9" x14ac:dyDescent="0.2">
      <c r="B413" s="263"/>
      <c r="C413" s="263"/>
      <c r="D413" s="263"/>
      <c r="E413" s="263"/>
      <c r="F413" s="263"/>
      <c r="G413" s="263"/>
      <c r="H413" s="263"/>
      <c r="I413" s="263"/>
    </row>
    <row r="414" spans="2:9" x14ac:dyDescent="0.2">
      <c r="B414" s="263"/>
      <c r="C414" s="263"/>
      <c r="D414" s="263"/>
      <c r="E414" s="263"/>
      <c r="F414" s="263"/>
      <c r="G414" s="263"/>
      <c r="H414" s="263"/>
      <c r="I414" s="263"/>
    </row>
    <row r="415" spans="2:9" x14ac:dyDescent="0.2">
      <c r="B415" s="263"/>
      <c r="C415" s="263"/>
      <c r="D415" s="263"/>
      <c r="E415" s="263"/>
      <c r="F415" s="263"/>
      <c r="G415" s="263"/>
      <c r="H415" s="263"/>
      <c r="I415" s="263"/>
    </row>
    <row r="418" spans="2:13" ht="13.5" thickBot="1" x14ac:dyDescent="0.25"/>
    <row r="419" spans="2:13" ht="13.5" thickBot="1" x14ac:dyDescent="0.25">
      <c r="B419" s="254" t="s">
        <v>1196</v>
      </c>
      <c r="C419" s="255" t="s">
        <v>1202</v>
      </c>
      <c r="D419" s="263"/>
      <c r="E419" s="263"/>
      <c r="F419" s="263"/>
      <c r="G419" s="263"/>
      <c r="H419" s="263"/>
      <c r="I419" s="263"/>
      <c r="J419" s="263"/>
      <c r="K419" s="263"/>
      <c r="L419" s="263"/>
      <c r="M419" s="263"/>
    </row>
    <row r="420" spans="2:13" ht="13.5" thickBot="1" x14ac:dyDescent="0.25">
      <c r="B420" s="263"/>
      <c r="C420" s="263"/>
      <c r="D420" s="263"/>
      <c r="E420" s="263"/>
      <c r="F420" s="263"/>
      <c r="G420" s="263"/>
      <c r="H420" s="263"/>
      <c r="I420" s="263"/>
      <c r="J420" s="263"/>
      <c r="K420" s="263"/>
      <c r="L420" s="263"/>
      <c r="M420" s="263"/>
    </row>
    <row r="421" spans="2:13" x14ac:dyDescent="0.2">
      <c r="B421" s="264" t="s">
        <v>1556</v>
      </c>
      <c r="C421" s="265" t="s">
        <v>1557</v>
      </c>
      <c r="D421" s="265" t="s">
        <v>1558</v>
      </c>
      <c r="E421" s="265" t="s">
        <v>1559</v>
      </c>
      <c r="F421" s="265" t="s">
        <v>1560</v>
      </c>
      <c r="G421" s="265" t="s">
        <v>1569</v>
      </c>
      <c r="H421" s="265" t="s">
        <v>1570</v>
      </c>
      <c r="I421" s="265" t="s">
        <v>1571</v>
      </c>
      <c r="J421" s="265" t="s">
        <v>1572</v>
      </c>
      <c r="K421" s="266" t="s">
        <v>1573</v>
      </c>
      <c r="L421" s="263"/>
      <c r="M421" s="263"/>
    </row>
    <row r="422" spans="2:13" ht="13.5" thickBot="1" x14ac:dyDescent="0.25">
      <c r="B422" s="277">
        <v>269.83333333333337</v>
      </c>
      <c r="C422" s="278">
        <v>181.58333333333334</v>
      </c>
      <c r="D422" s="278">
        <v>432.75</v>
      </c>
      <c r="E422" s="278">
        <v>641.41666666666663</v>
      </c>
      <c r="F422" s="278">
        <v>692.41666666666663</v>
      </c>
      <c r="G422" s="278">
        <v>451.6</v>
      </c>
      <c r="H422" s="278">
        <v>456.6</v>
      </c>
      <c r="I422" s="278">
        <v>436.6</v>
      </c>
      <c r="J422" s="278">
        <v>436.6</v>
      </c>
      <c r="K422" s="279">
        <v>436.6</v>
      </c>
      <c r="L422" s="263"/>
      <c r="M422" s="263"/>
    </row>
    <row r="426" spans="2:13" ht="13.5" thickBot="1" x14ac:dyDescent="0.25"/>
    <row r="427" spans="2:13" ht="13.5" thickBot="1" x14ac:dyDescent="0.25">
      <c r="B427" s="254" t="s">
        <v>1196</v>
      </c>
      <c r="C427" s="255" t="s">
        <v>1199</v>
      </c>
      <c r="D427" s="263"/>
      <c r="E427" s="263"/>
      <c r="F427" s="263"/>
      <c r="G427" s="263"/>
    </row>
    <row r="428" spans="2:13" ht="13.5" thickBot="1" x14ac:dyDescent="0.25">
      <c r="B428" s="263"/>
      <c r="C428" s="263"/>
      <c r="D428" s="263"/>
      <c r="E428" s="263"/>
      <c r="F428" s="263"/>
      <c r="G428" s="263"/>
    </row>
    <row r="429" spans="2:13" x14ac:dyDescent="0.2">
      <c r="B429" s="274" t="s">
        <v>1380</v>
      </c>
      <c r="C429" s="265" t="s">
        <v>1556</v>
      </c>
      <c r="D429" s="265" t="s">
        <v>1557</v>
      </c>
      <c r="E429" s="265" t="s">
        <v>1558</v>
      </c>
      <c r="F429" s="265" t="s">
        <v>1559</v>
      </c>
      <c r="G429" s="265" t="s">
        <v>1560</v>
      </c>
      <c r="H429" s="266" t="s">
        <v>1580</v>
      </c>
      <c r="I429" s="267"/>
      <c r="J429" s="267"/>
      <c r="K429" s="267"/>
      <c r="L429" s="267"/>
      <c r="M429" s="267"/>
    </row>
    <row r="430" spans="2:13" x14ac:dyDescent="0.2">
      <c r="B430" s="268" t="s">
        <v>1458</v>
      </c>
      <c r="C430" s="280">
        <v>0</v>
      </c>
      <c r="D430" s="281">
        <v>0</v>
      </c>
      <c r="E430" s="281">
        <v>0</v>
      </c>
      <c r="F430" s="281">
        <v>10</v>
      </c>
      <c r="G430" s="281">
        <v>10</v>
      </c>
      <c r="H430" s="282">
        <v>20</v>
      </c>
    </row>
    <row r="431" spans="2:13" x14ac:dyDescent="0.2">
      <c r="B431" s="268" t="s">
        <v>1487</v>
      </c>
      <c r="C431" s="280">
        <v>0</v>
      </c>
      <c r="D431" s="281">
        <v>0</v>
      </c>
      <c r="E431" s="281">
        <v>0</v>
      </c>
      <c r="F431" s="281">
        <v>0</v>
      </c>
      <c r="G431" s="281">
        <v>0</v>
      </c>
      <c r="H431" s="282">
        <v>0</v>
      </c>
    </row>
    <row r="432" spans="2:13" x14ac:dyDescent="0.2">
      <c r="B432" s="268" t="s">
        <v>1420</v>
      </c>
      <c r="C432" s="280">
        <v>0</v>
      </c>
      <c r="D432" s="281">
        <v>0</v>
      </c>
      <c r="E432" s="281">
        <v>0</v>
      </c>
      <c r="F432" s="281">
        <v>45</v>
      </c>
      <c r="G432" s="281">
        <v>45</v>
      </c>
      <c r="H432" s="282">
        <v>90</v>
      </c>
    </row>
    <row r="433" spans="2:9" x14ac:dyDescent="0.2">
      <c r="B433" s="268" t="s">
        <v>1459</v>
      </c>
      <c r="C433" s="280">
        <v>0</v>
      </c>
      <c r="D433" s="281">
        <v>0</v>
      </c>
      <c r="E433" s="281">
        <v>0</v>
      </c>
      <c r="F433" s="281">
        <v>191.5</v>
      </c>
      <c r="G433" s="281">
        <v>191.5</v>
      </c>
      <c r="H433" s="282">
        <v>383</v>
      </c>
    </row>
    <row r="434" spans="2:9" x14ac:dyDescent="0.2">
      <c r="B434" s="268" t="s">
        <v>1422</v>
      </c>
      <c r="C434" s="280">
        <v>0</v>
      </c>
      <c r="D434" s="281">
        <v>0</v>
      </c>
      <c r="E434" s="281">
        <v>0</v>
      </c>
      <c r="F434" s="281">
        <v>0</v>
      </c>
      <c r="G434" s="281">
        <v>80</v>
      </c>
      <c r="H434" s="282">
        <v>80</v>
      </c>
    </row>
    <row r="435" spans="2:9" x14ac:dyDescent="0.2">
      <c r="B435" s="268" t="s">
        <v>1424</v>
      </c>
      <c r="C435" s="280">
        <v>0</v>
      </c>
      <c r="D435" s="281">
        <v>0</v>
      </c>
      <c r="E435" s="281">
        <v>0</v>
      </c>
      <c r="F435" s="281">
        <v>0</v>
      </c>
      <c r="G435" s="281">
        <v>0</v>
      </c>
      <c r="H435" s="282">
        <v>0</v>
      </c>
    </row>
    <row r="436" spans="2:9" x14ac:dyDescent="0.2">
      <c r="B436" s="268" t="s">
        <v>1405</v>
      </c>
      <c r="C436" s="280">
        <v>0</v>
      </c>
      <c r="D436" s="281">
        <v>0</v>
      </c>
      <c r="E436" s="281">
        <v>0</v>
      </c>
      <c r="F436" s="281">
        <v>0</v>
      </c>
      <c r="G436" s="281">
        <v>0</v>
      </c>
      <c r="H436" s="282">
        <v>0</v>
      </c>
    </row>
    <row r="437" spans="2:9" x14ac:dyDescent="0.2">
      <c r="B437" s="268" t="s">
        <v>1426</v>
      </c>
      <c r="C437" s="280">
        <v>0</v>
      </c>
      <c r="D437" s="281">
        <v>0</v>
      </c>
      <c r="E437" s="281">
        <v>0</v>
      </c>
      <c r="F437" s="281">
        <v>23</v>
      </c>
      <c r="G437" s="281">
        <v>23</v>
      </c>
      <c r="H437" s="282">
        <v>46</v>
      </c>
    </row>
    <row r="438" spans="2:9" x14ac:dyDescent="0.2">
      <c r="B438" s="268" t="s">
        <v>1428</v>
      </c>
      <c r="C438" s="280">
        <v>0</v>
      </c>
      <c r="D438" s="281">
        <v>0</v>
      </c>
      <c r="E438" s="281">
        <v>0</v>
      </c>
      <c r="F438" s="281">
        <v>0</v>
      </c>
      <c r="G438" s="281">
        <v>20</v>
      </c>
      <c r="H438" s="282">
        <v>20</v>
      </c>
    </row>
    <row r="439" spans="2:9" x14ac:dyDescent="0.2">
      <c r="B439" s="268" t="s">
        <v>1320</v>
      </c>
      <c r="C439" s="280">
        <v>20</v>
      </c>
      <c r="D439" s="281">
        <v>20</v>
      </c>
      <c r="E439" s="281">
        <v>234</v>
      </c>
      <c r="F439" s="281">
        <v>234</v>
      </c>
      <c r="G439" s="281">
        <v>234</v>
      </c>
      <c r="H439" s="282">
        <v>742</v>
      </c>
    </row>
    <row r="440" spans="2:9" ht="13.5" thickBot="1" x14ac:dyDescent="0.25">
      <c r="B440" s="270" t="s">
        <v>1102</v>
      </c>
      <c r="C440" s="283">
        <v>20</v>
      </c>
      <c r="D440" s="278">
        <v>20</v>
      </c>
      <c r="E440" s="278">
        <v>234</v>
      </c>
      <c r="F440" s="278">
        <v>503.5</v>
      </c>
      <c r="G440" s="278">
        <v>603.5</v>
      </c>
      <c r="H440" s="279">
        <v>1381</v>
      </c>
    </row>
    <row r="441" spans="2:9" x14ac:dyDescent="0.2">
      <c r="B441" s="263"/>
      <c r="C441" s="263"/>
      <c r="D441" s="263"/>
      <c r="E441" s="263"/>
      <c r="F441" s="263"/>
      <c r="G441" s="263"/>
      <c r="H441" s="263"/>
    </row>
    <row r="442" spans="2:9" ht="13.5" thickBot="1" x14ac:dyDescent="0.25">
      <c r="B442" s="263"/>
      <c r="C442" s="263"/>
      <c r="D442" s="263"/>
      <c r="E442" s="263"/>
      <c r="F442" s="263"/>
      <c r="G442" s="263"/>
    </row>
    <row r="443" spans="2:9" ht="13.5" thickBot="1" x14ac:dyDescent="0.25">
      <c r="B443" s="254" t="s">
        <v>1196</v>
      </c>
      <c r="C443" s="255" t="s">
        <v>1199</v>
      </c>
      <c r="D443" s="263"/>
      <c r="E443" s="263"/>
      <c r="F443" s="263"/>
      <c r="G443" s="263"/>
    </row>
    <row r="444" spans="2:9" ht="13.5" thickBot="1" x14ac:dyDescent="0.25">
      <c r="B444" s="263"/>
      <c r="C444" s="263"/>
      <c r="D444" s="263"/>
      <c r="E444" s="263"/>
      <c r="F444" s="263"/>
      <c r="G444" s="263"/>
    </row>
    <row r="445" spans="2:9" x14ac:dyDescent="0.2">
      <c r="B445" s="274" t="s">
        <v>1380</v>
      </c>
      <c r="C445" s="265" t="s">
        <v>1569</v>
      </c>
      <c r="D445" s="265" t="s">
        <v>1570</v>
      </c>
      <c r="E445" s="265" t="s">
        <v>1571</v>
      </c>
      <c r="F445" s="265" t="s">
        <v>1572</v>
      </c>
      <c r="G445" s="265" t="s">
        <v>1573</v>
      </c>
      <c r="H445" s="266" t="s">
        <v>1581</v>
      </c>
      <c r="I445" s="263"/>
    </row>
    <row r="446" spans="2:9" x14ac:dyDescent="0.2">
      <c r="B446" s="268" t="s">
        <v>1458</v>
      </c>
      <c r="C446" s="281"/>
      <c r="D446" s="281"/>
      <c r="E446" s="281"/>
      <c r="F446" s="281"/>
      <c r="G446" s="281"/>
      <c r="H446" s="282">
        <v>0</v>
      </c>
      <c r="I446" s="263"/>
    </row>
    <row r="447" spans="2:9" x14ac:dyDescent="0.2">
      <c r="B447" s="268" t="s">
        <v>1487</v>
      </c>
      <c r="C447" s="281">
        <v>100</v>
      </c>
      <c r="D447" s="281">
        <v>100</v>
      </c>
      <c r="E447" s="281">
        <v>100</v>
      </c>
      <c r="F447" s="281">
        <v>100</v>
      </c>
      <c r="G447" s="281">
        <v>100</v>
      </c>
      <c r="H447" s="282">
        <v>500</v>
      </c>
      <c r="I447" s="263"/>
    </row>
    <row r="448" spans="2:9" x14ac:dyDescent="0.2">
      <c r="B448" s="268" t="s">
        <v>1420</v>
      </c>
      <c r="C448" s="281"/>
      <c r="D448" s="281"/>
      <c r="E448" s="281"/>
      <c r="F448" s="281"/>
      <c r="G448" s="281"/>
      <c r="H448" s="282">
        <v>0</v>
      </c>
      <c r="I448" s="263"/>
    </row>
    <row r="449" spans="2:9" x14ac:dyDescent="0.2">
      <c r="B449" s="268" t="s">
        <v>1459</v>
      </c>
      <c r="C449" s="281">
        <v>80</v>
      </c>
      <c r="D449" s="281">
        <v>80</v>
      </c>
      <c r="E449" s="281">
        <v>80</v>
      </c>
      <c r="F449" s="281">
        <v>80</v>
      </c>
      <c r="G449" s="281">
        <v>80</v>
      </c>
      <c r="H449" s="282">
        <v>400</v>
      </c>
      <c r="I449" s="263"/>
    </row>
    <row r="450" spans="2:9" x14ac:dyDescent="0.2">
      <c r="B450" s="268" t="s">
        <v>1422</v>
      </c>
      <c r="C450" s="281"/>
      <c r="D450" s="281"/>
      <c r="E450" s="281"/>
      <c r="F450" s="281"/>
      <c r="G450" s="281"/>
      <c r="H450" s="282">
        <v>0</v>
      </c>
      <c r="I450" s="263"/>
    </row>
    <row r="451" spans="2:9" x14ac:dyDescent="0.2">
      <c r="B451" s="268" t="s">
        <v>1424</v>
      </c>
      <c r="C451" s="281">
        <v>20</v>
      </c>
      <c r="D451" s="281">
        <v>20</v>
      </c>
      <c r="E451" s="281">
        <v>0</v>
      </c>
      <c r="F451" s="281">
        <v>0</v>
      </c>
      <c r="G451" s="281">
        <v>0</v>
      </c>
      <c r="H451" s="282">
        <v>40</v>
      </c>
      <c r="I451" s="263"/>
    </row>
    <row r="452" spans="2:9" x14ac:dyDescent="0.2">
      <c r="B452" s="268" t="s">
        <v>1405</v>
      </c>
      <c r="C452" s="281">
        <v>0</v>
      </c>
      <c r="D452" s="281">
        <v>5</v>
      </c>
      <c r="E452" s="281">
        <v>5</v>
      </c>
      <c r="F452" s="281">
        <v>5</v>
      </c>
      <c r="G452" s="281">
        <v>5</v>
      </c>
      <c r="H452" s="282">
        <v>20</v>
      </c>
      <c r="I452" s="263"/>
    </row>
    <row r="453" spans="2:9" x14ac:dyDescent="0.2">
      <c r="B453" s="268" t="s">
        <v>1426</v>
      </c>
      <c r="C453" s="281">
        <v>0</v>
      </c>
      <c r="D453" s="281">
        <v>5</v>
      </c>
      <c r="E453" s="281">
        <v>5</v>
      </c>
      <c r="F453" s="281">
        <v>5</v>
      </c>
      <c r="G453" s="281">
        <v>5</v>
      </c>
      <c r="H453" s="282">
        <v>20</v>
      </c>
      <c r="I453" s="263"/>
    </row>
    <row r="454" spans="2:9" x14ac:dyDescent="0.2">
      <c r="B454" s="268" t="s">
        <v>1428</v>
      </c>
      <c r="C454" s="281">
        <v>10</v>
      </c>
      <c r="D454" s="281">
        <v>5</v>
      </c>
      <c r="E454" s="281">
        <v>5</v>
      </c>
      <c r="F454" s="281">
        <v>5</v>
      </c>
      <c r="G454" s="281">
        <v>5</v>
      </c>
      <c r="H454" s="282">
        <v>30</v>
      </c>
      <c r="I454" s="263"/>
    </row>
    <row r="455" spans="2:9" x14ac:dyDescent="0.2">
      <c r="B455" s="268" t="s">
        <v>1320</v>
      </c>
      <c r="C455" s="281">
        <v>234</v>
      </c>
      <c r="D455" s="281">
        <v>234</v>
      </c>
      <c r="E455" s="281">
        <v>234</v>
      </c>
      <c r="F455" s="281">
        <v>234</v>
      </c>
      <c r="G455" s="281">
        <v>234</v>
      </c>
      <c r="H455" s="282">
        <v>1170</v>
      </c>
    </row>
    <row r="456" spans="2:9" ht="13.5" thickBot="1" x14ac:dyDescent="0.25">
      <c r="B456" s="270" t="s">
        <v>1102</v>
      </c>
      <c r="C456" s="278">
        <v>444</v>
      </c>
      <c r="D456" s="278">
        <v>449</v>
      </c>
      <c r="E456" s="278">
        <v>429</v>
      </c>
      <c r="F456" s="278">
        <v>429</v>
      </c>
      <c r="G456" s="278">
        <v>429</v>
      </c>
      <c r="H456" s="279">
        <v>2180</v>
      </c>
    </row>
    <row r="457" spans="2:9" x14ac:dyDescent="0.2">
      <c r="B457" s="263"/>
      <c r="C457" s="263"/>
      <c r="D457" s="263"/>
      <c r="E457" s="263"/>
      <c r="F457" s="263"/>
      <c r="G457" s="263"/>
      <c r="H457" s="263"/>
    </row>
  </sheetData>
  <pageMargins left="0.7" right="0.7" top="0.75" bottom="0.75" header="0.3" footer="0.3"/>
  <pageSetup paperSize="9" orientation="portrait" r:id="rId86"/>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6D8CAE2EE8E84CB300299DEAC9D98F" ma:contentTypeVersion="15" ma:contentTypeDescription="Create a new document." ma:contentTypeScope="" ma:versionID="d206b76ced65d45c59d35c37e8eb9c64">
  <xsd:schema xmlns:xsd="http://www.w3.org/2001/XMLSchema" xmlns:xs="http://www.w3.org/2001/XMLSchema" xmlns:p="http://schemas.microsoft.com/office/2006/metadata/properties" xmlns:ns1="http://schemas.microsoft.com/sharepoint/v3" xmlns:ns3="4bc4291b-b0e2-4ed2-97b3-a097e6cc39e8" xmlns:ns4="f86b5bda-238e-49e7-95bb-f5150a3923d7" targetNamespace="http://schemas.microsoft.com/office/2006/metadata/properties" ma:root="true" ma:fieldsID="8fa2f83c3ca26e269400ef3985ff072b" ns1:_="" ns3:_="" ns4:_="">
    <xsd:import namespace="http://schemas.microsoft.com/sharepoint/v3"/>
    <xsd:import namespace="4bc4291b-b0e2-4ed2-97b3-a097e6cc39e8"/>
    <xsd:import namespace="f86b5bda-238e-49e7-95bb-f5150a3923d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4291b-b0e2-4ed2-97b3-a097e6cc39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6b5bda-238e-49e7-95bb-f5150a3923d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7CD945-7A09-4C95-A30D-B3D3EF97C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bc4291b-b0e2-4ed2-97b3-a097e6cc39e8"/>
    <ds:schemaRef ds:uri="f86b5bda-238e-49e7-95bb-f5150a392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DF77B9-5EF7-46B4-9CE3-FC1F6235E5D2}">
  <ds:schemaRefs>
    <ds:schemaRef ds:uri="http://purl.org/dc/elements/1.1/"/>
    <ds:schemaRef ds:uri="http://schemas.microsoft.com/office/2006/metadata/properties"/>
    <ds:schemaRef ds:uri="4bc4291b-b0e2-4ed2-97b3-a097e6cc39e8"/>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f86b5bda-238e-49e7-95bb-f5150a3923d7"/>
    <ds:schemaRef ds:uri="http://www.w3.org/XML/1998/namespace"/>
  </ds:schemaRefs>
</ds:datastoreItem>
</file>

<file path=customXml/itemProps3.xml><?xml version="1.0" encoding="utf-8"?>
<ds:datastoreItem xmlns:ds="http://schemas.openxmlformats.org/officeDocument/2006/customXml" ds:itemID="{407D7CD1-56D3-4479-8AF7-A056CBDB7B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Tables</vt:lpstr>
      <vt:lpstr>Trajectory</vt:lpstr>
      <vt:lpstr>Data</vt:lpstr>
      <vt:lpstr>Pivot</vt:lpstr>
      <vt:lpstr>_2020_AMR__COMBINED</vt:lpstr>
      <vt:lpstr>'Summary Tables'!Print_Area</vt:lpstr>
      <vt:lpstr>Trajectory!Print_Area</vt:lpstr>
      <vt:lpstr>'Summary Tables'!Print_Titles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Chris</dc:creator>
  <cp:lastModifiedBy>Williams, Chris</cp:lastModifiedBy>
  <cp:lastPrinted>2020-11-09T09:57:15Z</cp:lastPrinted>
  <dcterms:created xsi:type="dcterms:W3CDTF">2020-05-04T12:57:13Z</dcterms:created>
  <dcterms:modified xsi:type="dcterms:W3CDTF">2020-11-16T09:11:14Z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0x010100766D8CAE2EE8E84CB300299DEAC9D98F</vt:lpwstr>
  </property>
  <property fmtid="{D5CDD505-2E9C-101B-9397-08002B2CF9AE}" pid="3" name="MSIP_Label_763da656-5c75-4f6d-9461-4a3ce9a537cc_Enabled">
    <vt:lpwstr>True</vt:lpwstr>
  </property>
  <property fmtid="{D5CDD505-2E9C-101B-9397-08002B2CF9AE}" pid="4" name="MSIP_Label_763da656-5c75-4f6d-9461-4a3ce9a537cc_SiteId">
    <vt:lpwstr>d9d3f5ac-f803-49be-949f-14a7074d74a7</vt:lpwstr>
  </property>
  <property fmtid="{D5CDD505-2E9C-101B-9397-08002B2CF9AE}" pid="5" name="MSIP_Label_763da656-5c75-4f6d-9461-4a3ce9a537cc_Owner">
    <vt:lpwstr>Chris.Williams@richmondandwandsworth.gov.uk</vt:lpwstr>
  </property>
  <property fmtid="{D5CDD505-2E9C-101B-9397-08002B2CF9AE}" pid="6" name="MSIP_Label_763da656-5c75-4f6d-9461-4a3ce9a537cc_SetDate">
    <vt:lpwstr>2020-09-15T09:21:59.2507532Z</vt:lpwstr>
  </property>
  <property fmtid="{D5CDD505-2E9C-101B-9397-08002B2CF9AE}" pid="7" name="MSIP_Label_763da656-5c75-4f6d-9461-4a3ce9a537cc_Name">
    <vt:lpwstr>Official</vt:lpwstr>
  </property>
  <property fmtid="{D5CDD505-2E9C-101B-9397-08002B2CF9AE}" pid="8" name="MSIP_Label_763da656-5c75-4f6d-9461-4a3ce9a537cc_Application">
    <vt:lpwstr>Microsoft Azure Information Protection</vt:lpwstr>
  </property>
  <property fmtid="{D5CDD505-2E9C-101B-9397-08002B2CF9AE}" pid="9" name="MSIP_Label_763da656-5c75-4f6d-9461-4a3ce9a537cc_ActionId">
    <vt:lpwstr>4f1ceb13-4ed5-4e2c-9c5c-a123fee52fac</vt:lpwstr>
  </property>
  <property fmtid="{D5CDD505-2E9C-101B-9397-08002B2CF9AE}" pid="10" name="MSIP_Label_763da656-5c75-4f6d-9461-4a3ce9a537cc_Extended_MSFT_Method">
    <vt:lpwstr>Automatic</vt:lpwstr>
  </property>
  <property fmtid="{D5CDD505-2E9C-101B-9397-08002B2CF9AE}" pid="11" name="Sensitivity">
    <vt:lpwstr>Official</vt:lpwstr>
  </property>
</Properties>
</file>